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5465" activeTab="0"/>
  </bookViews>
  <sheets>
    <sheet name="Financial Basics" sheetId="1" r:id="rId1"/>
    <sheet name="Kurven" sheetId="2" r:id="rId2"/>
    <sheet name="Effektivverzinsung" sheetId="3" r:id="rId3"/>
    <sheet name="ABC Analyse" sheetId="4" r:id="rId4"/>
    <sheet name="XYZ Analyse" sheetId="5" r:id="rId5"/>
    <sheet name="dyn. Bestellmengenrechnung" sheetId="6" r:id="rId6"/>
    <sheet name="Kostenausgleichsverfahren" sheetId="7" r:id="rId7"/>
  </sheets>
  <definedNames>
    <definedName name="OLE_LINK1" localSheetId="4">'XYZ Analyse'!$C$7</definedName>
  </definedNames>
  <calcPr fullCalcOnLoad="1"/>
</workbook>
</file>

<file path=xl/comments3.xml><?xml version="1.0" encoding="utf-8"?>
<comments xmlns="http://schemas.openxmlformats.org/spreadsheetml/2006/main">
  <authors>
    <author>Mertelsmertz</author>
  </authors>
  <commentList>
    <comment ref="B6" authorId="0">
      <text>
        <r>
          <rPr>
            <b/>
            <sz val="8"/>
            <rFont val="Tahoma"/>
            <family val="0"/>
          </rPr>
          <t xml:space="preserve">
Bei unterjähriger Verzinsung:  </t>
        </r>
        <r>
          <rPr>
            <b/>
            <sz val="8"/>
            <color indexed="10"/>
            <rFont val="Tahoma"/>
            <family val="2"/>
          </rPr>
          <t>p(rel)</t>
        </r>
        <r>
          <rPr>
            <b/>
            <sz val="8"/>
            <rFont val="Tahoma"/>
            <family val="0"/>
          </rPr>
          <t xml:space="preserve"> verwenden !</t>
        </r>
      </text>
    </comment>
    <comment ref="I6" authorId="0">
      <text>
        <r>
          <rPr>
            <b/>
            <sz val="8"/>
            <rFont val="Tahoma"/>
            <family val="0"/>
          </rPr>
          <t xml:space="preserve">
Bei unterjähriger Verzinsung </t>
        </r>
        <r>
          <rPr>
            <b/>
            <sz val="8"/>
            <color indexed="10"/>
            <rFont val="Tahoma"/>
            <family val="2"/>
          </rPr>
          <t>p(rel)</t>
        </r>
        <r>
          <rPr>
            <b/>
            <sz val="8"/>
            <rFont val="Tahoma"/>
            <family val="0"/>
          </rPr>
          <t xml:space="preserve"> verwenden!
Grundlage ist aber der </t>
        </r>
        <r>
          <rPr>
            <b/>
            <sz val="8"/>
            <color indexed="12"/>
            <rFont val="Tahoma"/>
            <family val="2"/>
          </rPr>
          <t>EFFEKTIVE ZINSSATZ</t>
        </r>
        <r>
          <rPr>
            <b/>
            <sz val="8"/>
            <rFont val="Tahoma"/>
            <family val="0"/>
          </rPr>
          <t xml:space="preserve"> !</t>
        </r>
      </text>
    </comment>
  </commentList>
</comments>
</file>

<file path=xl/sharedStrings.xml><?xml version="1.0" encoding="utf-8"?>
<sst xmlns="http://schemas.openxmlformats.org/spreadsheetml/2006/main" count="199" uniqueCount="97">
  <si>
    <t>Fiscal year</t>
  </si>
  <si>
    <t>Laufzeit</t>
  </si>
  <si>
    <t>Laufzeit [a]</t>
  </si>
  <si>
    <t>Kapitalwert C</t>
  </si>
  <si>
    <t>Income (net)</t>
  </si>
  <si>
    <t>Anschaffungskosten</t>
  </si>
  <si>
    <t>nachschüssiger Rentenbarwert</t>
  </si>
  <si>
    <t>Rn</t>
  </si>
  <si>
    <t>Rentenendwert</t>
  </si>
  <si>
    <t>r</t>
  </si>
  <si>
    <t>q</t>
  </si>
  <si>
    <t>Rentenrate</t>
  </si>
  <si>
    <t>Zinsrate</t>
  </si>
  <si>
    <t>n</t>
  </si>
  <si>
    <t>Rentenbarwert</t>
  </si>
  <si>
    <r>
      <t>R</t>
    </r>
    <r>
      <rPr>
        <sz val="6"/>
        <rFont val="Arial"/>
        <family val="2"/>
      </rPr>
      <t>0</t>
    </r>
  </si>
  <si>
    <t>Kapitalwertmethode - Aufzinsung</t>
  </si>
  <si>
    <t>Kapitalwertmethode - Abzinsung</t>
  </si>
  <si>
    <t>Ausgaben</t>
  </si>
  <si>
    <t>Einnahmen</t>
  </si>
  <si>
    <t>Jahresüberschuss</t>
  </si>
  <si>
    <t>Periode</t>
  </si>
  <si>
    <t>Zinssatz [%]</t>
  </si>
  <si>
    <t>Kapitalwert</t>
  </si>
  <si>
    <t>Annuitätenmethode</t>
  </si>
  <si>
    <t>Ausgabenannuität</t>
  </si>
  <si>
    <t>Einnahmenannuität</t>
  </si>
  <si>
    <t>Laufzeit [e]</t>
  </si>
  <si>
    <t>Laufzeit [total]</t>
  </si>
  <si>
    <t>Überschussannuität</t>
  </si>
  <si>
    <t>Ratentilgung</t>
  </si>
  <si>
    <t>Jahr</t>
  </si>
  <si>
    <t>Restschuld</t>
  </si>
  <si>
    <t>(zu Beginn des Jahres)</t>
  </si>
  <si>
    <t>Zinsen</t>
  </si>
  <si>
    <t>Tilgung</t>
  </si>
  <si>
    <t>Annuität</t>
  </si>
  <si>
    <t>Annuitätentilgung</t>
  </si>
  <si>
    <t>jahreskonforme Ersatzrate</t>
  </si>
  <si>
    <r>
      <t>r</t>
    </r>
    <r>
      <rPr>
        <sz val="6"/>
        <rFont val="Arial"/>
        <family val="2"/>
      </rPr>
      <t>E</t>
    </r>
  </si>
  <si>
    <t>m</t>
  </si>
  <si>
    <t>p</t>
  </si>
  <si>
    <t>i</t>
  </si>
  <si>
    <t>nachschüssig</t>
  </si>
  <si>
    <t>vorschüssig</t>
  </si>
  <si>
    <r>
      <t>p</t>
    </r>
    <r>
      <rPr>
        <sz val="7"/>
        <rFont val="Arial"/>
        <family val="2"/>
      </rPr>
      <t>rel</t>
    </r>
  </si>
  <si>
    <r>
      <t>p</t>
    </r>
    <r>
      <rPr>
        <sz val="7"/>
        <rFont val="Arial"/>
        <family val="2"/>
      </rPr>
      <t>nom</t>
    </r>
  </si>
  <si>
    <r>
      <t>i</t>
    </r>
    <r>
      <rPr>
        <sz val="7"/>
        <rFont val="Arial"/>
        <family val="2"/>
      </rPr>
      <t>rel</t>
    </r>
  </si>
  <si>
    <t>x</t>
  </si>
  <si>
    <t>y</t>
  </si>
  <si>
    <t>Tilgungsplan der Bank</t>
  </si>
  <si>
    <t>Vergleichskonto</t>
  </si>
  <si>
    <t>Zu verzinsendes Kapital</t>
  </si>
  <si>
    <t>check:</t>
  </si>
  <si>
    <t>Beschaffungkosten</t>
  </si>
  <si>
    <r>
      <t>Materialpositionen</t>
    </r>
    <r>
      <rPr>
        <sz val="10"/>
        <rFont val="Arial"/>
        <family val="0"/>
      </rPr>
      <t xml:space="preserve"> o. </t>
    </r>
    <r>
      <rPr>
        <b/>
        <sz val="10"/>
        <rFont val="Arial"/>
        <family val="2"/>
      </rPr>
      <t>Teile</t>
    </r>
  </si>
  <si>
    <t>Bestellungen / Jahr</t>
  </si>
  <si>
    <t>Anzahl Bestellungen / Jahr</t>
  </si>
  <si>
    <t>€ / Bestellung</t>
  </si>
  <si>
    <t>Beschaffungskosten</t>
  </si>
  <si>
    <t>A-Teile</t>
  </si>
  <si>
    <t>B-Teile</t>
  </si>
  <si>
    <t>C-Teile</t>
  </si>
  <si>
    <t>Einsparung:</t>
  </si>
  <si>
    <t>Lagerhaltungskosten</t>
  </si>
  <si>
    <t>Bestellwert</t>
  </si>
  <si>
    <t>Wert einer Bestellung</t>
  </si>
  <si>
    <t>mittlerer Lagerstandswert</t>
  </si>
  <si>
    <t>Lagerhaltungskosten [%]</t>
  </si>
  <si>
    <t>mittlerer Lagerbestandswert</t>
  </si>
  <si>
    <r>
      <t>SQ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 </t>
    </r>
  </si>
  <si>
    <t>bis zur i-ten Periode fortgeschriebener SQ-Wert</t>
  </si>
  <si>
    <t>Intervalle innerhalb einer Periode (zumeist 1)</t>
  </si>
  <si>
    <t>SF</t>
  </si>
  <si>
    <t>Sicherheitsfaktor</t>
  </si>
  <si>
    <t>T</t>
  </si>
  <si>
    <t>tatsächlicher Verbrauch</t>
  </si>
  <si>
    <t>V</t>
  </si>
  <si>
    <t>Vorhersagewert</t>
  </si>
  <si>
    <t>laufende Periode</t>
  </si>
  <si>
    <r>
      <t>SQ</t>
    </r>
    <r>
      <rPr>
        <vertAlign val="subscript"/>
        <sz val="10"/>
        <rFont val="Times New Roman"/>
        <family val="1"/>
      </rPr>
      <t>i-1</t>
    </r>
  </si>
  <si>
    <t>Ti</t>
  </si>
  <si>
    <t>Vi</t>
  </si>
  <si>
    <t>SQi</t>
  </si>
  <si>
    <r>
      <t>SQ</t>
    </r>
    <r>
      <rPr>
        <b/>
        <sz val="8"/>
        <rFont val="Arial"/>
        <family val="2"/>
      </rPr>
      <t>i-1</t>
    </r>
  </si>
  <si>
    <t>Anzahl Perioden</t>
  </si>
  <si>
    <t>Schwankungskoeffizient</t>
  </si>
  <si>
    <t>Verbrauchsverhalten</t>
  </si>
  <si>
    <t>Bedarf</t>
  </si>
  <si>
    <t>Lagerdauer (Monat)</t>
  </si>
  <si>
    <t>Lagerhaltungskosten (€/Monat)</t>
  </si>
  <si>
    <t>Kummuliert (€)</t>
  </si>
  <si>
    <t>Bestellkosten (€)</t>
  </si>
  <si>
    <t>Bestell- u. Lagerhaltungskosten (€/St.)</t>
  </si>
  <si>
    <t>Bestellmenge (Stück)</t>
  </si>
  <si>
    <t>Lagerhaltungskosten (Stück/Monat):</t>
  </si>
  <si>
    <t>Bestellkosten (pro Bestellung):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</si>
</sst>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  <numFmt numFmtId="168" formatCode="_-&quot;€&quot;\ * #,##0.0_-;\-&quot;€&quot;\ * #,##0.0_-;_-&quot;€&quot;\ * &quot;-&quot;?_-;_-@_-"/>
    <numFmt numFmtId="169" formatCode="0.00000000"/>
    <numFmt numFmtId="170" formatCode="0.0000000"/>
    <numFmt numFmtId="171" formatCode="0.000000"/>
    <numFmt numFmtId="172" formatCode="0.00_ ;[Red]\-0.00\ "/>
    <numFmt numFmtId="173" formatCode="0.0E+00"/>
    <numFmt numFmtId="174" formatCode="0.000E+00"/>
    <numFmt numFmtId="175" formatCode="0.0000E+00"/>
    <numFmt numFmtId="176" formatCode="0.00000E+00"/>
    <numFmt numFmtId="177" formatCode="0.000000E+00"/>
    <numFmt numFmtId="178" formatCode="0.0000000E+00"/>
    <numFmt numFmtId="179" formatCode="0.00000000E+00"/>
    <numFmt numFmtId="180" formatCode="0E+00"/>
    <numFmt numFmtId="181" formatCode="mmm/yyyy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168" fontId="2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/>
    </xf>
    <xf numFmtId="0" fontId="2" fillId="0" borderId="28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2" borderId="35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6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37" xfId="0" applyNumberFormat="1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2" fontId="0" fillId="2" borderId="22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  <xf numFmtId="2" fontId="2" fillId="2" borderId="38" xfId="0" applyNumberFormat="1" applyFont="1" applyFill="1" applyBorder="1" applyAlignment="1">
      <alignment horizontal="center"/>
    </xf>
    <xf numFmtId="2" fontId="0" fillId="2" borderId="3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2" borderId="4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0" borderId="54" xfId="0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43" fontId="4" fillId="0" borderId="9" xfId="15" applyFont="1" applyBorder="1" applyAlignment="1">
      <alignment horizontal="center"/>
    </xf>
    <xf numFmtId="43" fontId="0" fillId="2" borderId="33" xfId="15" applyFill="1" applyBorder="1" applyAlignment="1">
      <alignment horizontal="center"/>
    </xf>
    <xf numFmtId="43" fontId="0" fillId="2" borderId="34" xfId="15" applyFill="1" applyBorder="1" applyAlignment="1">
      <alignment horizontal="center"/>
    </xf>
    <xf numFmtId="43" fontId="0" fillId="2" borderId="4" xfId="15" applyFill="1" applyBorder="1" applyAlignment="1">
      <alignment horizontal="center"/>
    </xf>
    <xf numFmtId="43" fontId="0" fillId="2" borderId="10" xfId="15" applyFont="1" applyFill="1" applyBorder="1" applyAlignment="1">
      <alignment horizontal="center"/>
    </xf>
    <xf numFmtId="43" fontId="0" fillId="2" borderId="56" xfId="15" applyFill="1" applyBorder="1" applyAlignment="1">
      <alignment horizontal="center"/>
    </xf>
    <xf numFmtId="43" fontId="0" fillId="2" borderId="1" xfId="15" applyFill="1" applyBorder="1" applyAlignment="1">
      <alignment horizontal="center"/>
    </xf>
    <xf numFmtId="43" fontId="0" fillId="2" borderId="18" xfId="15" applyFill="1" applyBorder="1" applyAlignment="1">
      <alignment horizontal="center"/>
    </xf>
    <xf numFmtId="43" fontId="0" fillId="2" borderId="25" xfId="15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43" fontId="4" fillId="2" borderId="9" xfId="15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3" fontId="0" fillId="2" borderId="24" xfId="15" applyFill="1" applyBorder="1" applyAlignment="1">
      <alignment horizontal="center"/>
    </xf>
    <xf numFmtId="43" fontId="0" fillId="2" borderId="23" xfId="15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2" fillId="0" borderId="45" xfId="0" applyFont="1" applyBorder="1" applyAlignment="1">
      <alignment/>
    </xf>
    <xf numFmtId="0" fontId="0" fillId="0" borderId="44" xfId="0" applyBorder="1" applyAlignment="1">
      <alignment/>
    </xf>
    <xf numFmtId="0" fontId="0" fillId="3" borderId="42" xfId="0" applyFill="1" applyBorder="1" applyAlignment="1">
      <alignment horizontal="center"/>
    </xf>
    <xf numFmtId="43" fontId="0" fillId="0" borderId="13" xfId="15" applyBorder="1" applyAlignment="1">
      <alignment/>
    </xf>
    <xf numFmtId="43" fontId="2" fillId="3" borderId="58" xfId="0" applyNumberFormat="1" applyFont="1" applyFill="1" applyBorder="1" applyAlignment="1">
      <alignment/>
    </xf>
    <xf numFmtId="0" fontId="2" fillId="0" borderId="59" xfId="0" applyFont="1" applyBorder="1" applyAlignment="1">
      <alignment horizontal="center"/>
    </xf>
    <xf numFmtId="43" fontId="2" fillId="3" borderId="3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0" borderId="59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0" fillId="3" borderId="4" xfId="0" applyFill="1" applyBorder="1" applyAlignment="1">
      <alignment/>
    </xf>
    <xf numFmtId="0" fontId="2" fillId="0" borderId="5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3" borderId="24" xfId="15" applyNumberFormat="1" applyFill="1" applyBorder="1" applyAlignment="1">
      <alignment horizontal="center"/>
    </xf>
    <xf numFmtId="43" fontId="0" fillId="0" borderId="24" xfId="15" applyBorder="1" applyAlignment="1">
      <alignment horizontal="center"/>
    </xf>
    <xf numFmtId="43" fontId="2" fillId="3" borderId="25" xfId="15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62" xfId="0" applyFont="1" applyBorder="1" applyAlignment="1">
      <alignment/>
    </xf>
    <xf numFmtId="43" fontId="0" fillId="0" borderId="4" xfId="15" applyBorder="1" applyAlignment="1">
      <alignment/>
    </xf>
    <xf numFmtId="43" fontId="0" fillId="3" borderId="4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43" fontId="0" fillId="0" borderId="1" xfId="0" applyNumberFormat="1" applyBorder="1" applyAlignment="1">
      <alignment/>
    </xf>
    <xf numFmtId="0" fontId="2" fillId="0" borderId="63" xfId="0" applyFont="1" applyBorder="1" applyAlignment="1">
      <alignment/>
    </xf>
    <xf numFmtId="43" fontId="0" fillId="0" borderId="41" xfId="15" applyBorder="1" applyAlignment="1">
      <alignment/>
    </xf>
    <xf numFmtId="0" fontId="0" fillId="0" borderId="24" xfId="0" applyBorder="1" applyAlignment="1">
      <alignment horizontal="center"/>
    </xf>
    <xf numFmtId="43" fontId="0" fillId="3" borderId="64" xfId="0" applyNumberFormat="1" applyFill="1" applyBorder="1" applyAlignment="1">
      <alignment/>
    </xf>
    <xf numFmtId="43" fontId="0" fillId="0" borderId="54" xfId="15" applyBorder="1" applyAlignment="1">
      <alignment/>
    </xf>
    <xf numFmtId="0" fontId="0" fillId="0" borderId="14" xfId="0" applyBorder="1" applyAlignment="1">
      <alignment/>
    </xf>
    <xf numFmtId="43" fontId="0" fillId="0" borderId="14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43" fontId="0" fillId="0" borderId="46" xfId="15" applyBorder="1" applyAlignment="1">
      <alignment/>
    </xf>
    <xf numFmtId="0" fontId="0" fillId="0" borderId="18" xfId="0" applyBorder="1" applyAlignment="1">
      <alignment/>
    </xf>
    <xf numFmtId="43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66" xfId="0" applyBorder="1" applyAlignment="1">
      <alignment/>
    </xf>
    <xf numFmtId="0" fontId="2" fillId="0" borderId="6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5" fontId="0" fillId="3" borderId="59" xfId="0" applyNumberFormat="1" applyFill="1" applyBorder="1" applyAlignment="1">
      <alignment/>
    </xf>
    <xf numFmtId="165" fontId="0" fillId="3" borderId="50" xfId="0" applyNumberFormat="1" applyFill="1" applyBorder="1" applyAlignment="1">
      <alignment/>
    </xf>
    <xf numFmtId="165" fontId="0" fillId="3" borderId="48" xfId="0" applyNumberFormat="1" applyFill="1" applyBorder="1" applyAlignment="1">
      <alignment/>
    </xf>
    <xf numFmtId="165" fontId="0" fillId="3" borderId="49" xfId="0" applyNumberFormat="1" applyFill="1" applyBorder="1" applyAlignment="1">
      <alignment/>
    </xf>
    <xf numFmtId="0" fontId="2" fillId="0" borderId="45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0" fillId="0" borderId="1" xfId="0" applyBorder="1" applyAlignment="1">
      <alignment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2" fillId="0" borderId="67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6" xfId="0" applyBorder="1" applyAlignment="1">
      <alignment/>
    </xf>
    <xf numFmtId="0" fontId="0" fillId="0" borderId="62" xfId="0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63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58" xfId="0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64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>
      <alignment/>
    </xf>
    <xf numFmtId="43" fontId="0" fillId="3" borderId="24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43" fontId="0" fillId="3" borderId="60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67" xfId="0" applyBorder="1" applyAlignment="1">
      <alignment/>
    </xf>
    <xf numFmtId="43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43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69" xfId="0" applyBorder="1" applyAlignment="1">
      <alignment/>
    </xf>
    <xf numFmtId="0" fontId="0" fillId="0" borderId="6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Kurven!$D$4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Kurven!$C$5:$C$25</c:f>
              <c:numCache/>
            </c:numRef>
          </c:xVal>
          <c:yVal>
            <c:numRef>
              <c:f>Kurven!$D$5:$D$25</c:f>
              <c:numCache/>
            </c:numRef>
          </c:yVal>
          <c:smooth val="1"/>
        </c:ser>
        <c:axId val="36396695"/>
        <c:axId val="59134800"/>
      </c:scatterChart>
      <c:valAx>
        <c:axId val="363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34800"/>
        <c:crosses val="autoZero"/>
        <c:crossBetween val="midCat"/>
        <c:dispUnits/>
      </c:valAx>
      <c:valAx>
        <c:axId val="59134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96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11</xdr:row>
      <xdr:rowOff>57150</xdr:rowOff>
    </xdr:from>
    <xdr:to>
      <xdr:col>23</xdr:col>
      <xdr:colOff>438150</xdr:colOff>
      <xdr:row>34</xdr:row>
      <xdr:rowOff>9525</xdr:rowOff>
    </xdr:to>
    <xdr:graphicFrame>
      <xdr:nvGraphicFramePr>
        <xdr:cNvPr id="1" name="Chart 8"/>
        <xdr:cNvGraphicFramePr/>
      </xdr:nvGraphicFramePr>
      <xdr:xfrm>
        <a:off x="3419475" y="1838325"/>
        <a:ext cx="68484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3"/>
  <sheetViews>
    <sheetView tabSelected="1" workbookViewId="0" topLeftCell="A1">
      <selection activeCell="K39" sqref="K39"/>
    </sheetView>
  </sheetViews>
  <sheetFormatPr defaultColWidth="11.421875" defaultRowHeight="12.75"/>
  <cols>
    <col min="1" max="1" width="4.28125" style="0" customWidth="1"/>
    <col min="2" max="2" width="15.28125" style="0" bestFit="1" customWidth="1"/>
    <col min="3" max="3" width="11.28125" style="0" bestFit="1" customWidth="1"/>
    <col min="4" max="4" width="20.140625" style="0" bestFit="1" customWidth="1"/>
    <col min="5" max="5" width="14.421875" style="0" bestFit="1" customWidth="1"/>
    <col min="6" max="6" width="17.8515625" style="0" bestFit="1" customWidth="1"/>
    <col min="7" max="7" width="13.28125" style="0" bestFit="1" customWidth="1"/>
    <col min="8" max="8" width="17.57421875" style="0" bestFit="1" customWidth="1"/>
    <col min="9" max="9" width="18.8515625" style="0" bestFit="1" customWidth="1"/>
    <col min="11" max="11" width="18.7109375" style="0" bestFit="1" customWidth="1"/>
    <col min="13" max="13" width="13.421875" style="0" bestFit="1" customWidth="1"/>
  </cols>
  <sheetData>
    <row r="2" spans="2:7" ht="12.75">
      <c r="B2" s="229" t="s">
        <v>16</v>
      </c>
      <c r="C2" s="230"/>
      <c r="D2" s="230"/>
      <c r="E2" s="230"/>
      <c r="F2" s="230"/>
      <c r="G2" s="231"/>
    </row>
    <row r="3" spans="2:7" ht="12.75">
      <c r="B3" s="1" t="s">
        <v>2</v>
      </c>
      <c r="C3" s="2" t="s">
        <v>4</v>
      </c>
      <c r="D3" s="2" t="s">
        <v>0</v>
      </c>
      <c r="E3" s="1"/>
      <c r="F3" s="2" t="s">
        <v>5</v>
      </c>
      <c r="G3" s="13" t="s">
        <v>3</v>
      </c>
    </row>
    <row r="4" spans="2:7" ht="12.75">
      <c r="B4" s="1"/>
      <c r="C4" s="1"/>
      <c r="D4" s="1"/>
      <c r="E4" s="1"/>
      <c r="F4" s="1"/>
      <c r="G4" s="1"/>
    </row>
    <row r="5" spans="2:7" ht="12.75">
      <c r="B5" s="2">
        <v>3</v>
      </c>
      <c r="C5" s="2">
        <v>105000</v>
      </c>
      <c r="D5" s="1">
        <v>5</v>
      </c>
      <c r="E5" s="1">
        <f>(1.08^($B$5-D5))*C5</f>
        <v>90020.57613168724</v>
      </c>
      <c r="F5" s="2">
        <v>427000</v>
      </c>
      <c r="G5" s="3">
        <f>SUM(E5:E9)-F5</f>
        <v>167867.68724279827</v>
      </c>
    </row>
    <row r="6" spans="2:7" ht="12.75">
      <c r="B6" s="4"/>
      <c r="C6" s="2">
        <v>120000</v>
      </c>
      <c r="D6" s="1">
        <v>4</v>
      </c>
      <c r="E6" s="1">
        <f>(1.08^($B$5-D6))*C6</f>
        <v>111111.1111111111</v>
      </c>
      <c r="F6" s="7"/>
      <c r="G6" s="8"/>
    </row>
    <row r="7" spans="2:7" ht="12.75">
      <c r="B7" s="5"/>
      <c r="C7" s="2">
        <v>130000</v>
      </c>
      <c r="D7" s="1">
        <v>3</v>
      </c>
      <c r="E7" s="1">
        <f>(1.08^($B$5-D7))*C7</f>
        <v>130000</v>
      </c>
      <c r="F7" s="9"/>
      <c r="G7" s="10"/>
    </row>
    <row r="8" spans="2:7" ht="12.75">
      <c r="B8" s="5"/>
      <c r="C8" s="2">
        <v>120000</v>
      </c>
      <c r="D8" s="1">
        <v>2</v>
      </c>
      <c r="E8" s="1">
        <f>(1.08^($B$5-D8))*C8</f>
        <v>129600.00000000001</v>
      </c>
      <c r="F8" s="9"/>
      <c r="G8" s="10"/>
    </row>
    <row r="9" spans="2:7" ht="12.75">
      <c r="B9" s="6"/>
      <c r="C9" s="2">
        <v>115000</v>
      </c>
      <c r="D9" s="1">
        <v>1</v>
      </c>
      <c r="E9" s="1">
        <f>(1.08^($B$5-D9))*C9</f>
        <v>134136</v>
      </c>
      <c r="F9" s="11"/>
      <c r="G9" s="12"/>
    </row>
    <row r="11" ht="13.5" thickBot="1"/>
    <row r="12" spans="2:9" ht="13.5" thickBot="1">
      <c r="B12" s="226" t="s">
        <v>17</v>
      </c>
      <c r="C12" s="232"/>
      <c r="D12" s="232"/>
      <c r="E12" s="232"/>
      <c r="F12" s="232"/>
      <c r="G12" s="232"/>
      <c r="H12" s="227"/>
      <c r="I12" s="228"/>
    </row>
    <row r="13" spans="2:9" ht="13.5" thickBot="1">
      <c r="B13" s="29" t="s">
        <v>2</v>
      </c>
      <c r="C13" s="31" t="s">
        <v>22</v>
      </c>
      <c r="D13" s="30" t="s">
        <v>0</v>
      </c>
      <c r="E13" s="31" t="s">
        <v>21</v>
      </c>
      <c r="F13" s="31" t="s">
        <v>18</v>
      </c>
      <c r="G13" s="31" t="s">
        <v>19</v>
      </c>
      <c r="H13" s="32" t="s">
        <v>20</v>
      </c>
      <c r="I13" s="37" t="s">
        <v>3</v>
      </c>
    </row>
    <row r="14" spans="2:9" ht="12.75">
      <c r="B14" s="35"/>
      <c r="C14" s="63">
        <v>5.5</v>
      </c>
      <c r="D14" s="21">
        <v>2000</v>
      </c>
      <c r="E14" s="61">
        <v>0</v>
      </c>
      <c r="F14" s="20">
        <v>12000</v>
      </c>
      <c r="G14" s="44"/>
      <c r="H14" s="22">
        <f>G14-F14</f>
        <v>-12000</v>
      </c>
      <c r="I14" s="40">
        <f>H14</f>
        <v>-12000</v>
      </c>
    </row>
    <row r="15" spans="2:9" ht="12.75">
      <c r="B15" s="33"/>
      <c r="C15" s="5"/>
      <c r="D15" s="17">
        <v>2001</v>
      </c>
      <c r="E15" s="62">
        <v>1</v>
      </c>
      <c r="F15" s="2"/>
      <c r="G15" s="45"/>
      <c r="H15" s="23">
        <f aca="true" t="shared" si="0" ref="H15:H23">G15-F15</f>
        <v>0</v>
      </c>
      <c r="I15" s="40">
        <f aca="true" t="shared" si="1" ref="I15:I23">H15/(1+C$14/100)^E15</f>
        <v>0</v>
      </c>
    </row>
    <row r="16" spans="2:9" ht="12.75">
      <c r="B16" s="33"/>
      <c r="C16" s="5"/>
      <c r="D16" s="17">
        <v>2002</v>
      </c>
      <c r="E16" s="62">
        <v>2</v>
      </c>
      <c r="F16" s="2"/>
      <c r="G16" s="45"/>
      <c r="H16" s="23">
        <f t="shared" si="0"/>
        <v>0</v>
      </c>
      <c r="I16" s="40">
        <f>H16/((1+(C$14/100))^E16)</f>
        <v>0</v>
      </c>
    </row>
    <row r="17" spans="2:9" ht="12.75">
      <c r="B17" s="33"/>
      <c r="C17" s="5"/>
      <c r="D17" s="17">
        <v>2003</v>
      </c>
      <c r="E17" s="62">
        <v>3</v>
      </c>
      <c r="F17" s="2"/>
      <c r="G17" s="45">
        <v>500</v>
      </c>
      <c r="H17" s="23">
        <f t="shared" si="0"/>
        <v>500</v>
      </c>
      <c r="I17" s="40">
        <f t="shared" si="1"/>
        <v>425.8068320919113</v>
      </c>
    </row>
    <row r="18" spans="2:9" ht="12.75">
      <c r="B18" s="33"/>
      <c r="C18" s="5"/>
      <c r="D18" s="17">
        <v>2004</v>
      </c>
      <c r="E18" s="62">
        <v>4</v>
      </c>
      <c r="F18" s="2"/>
      <c r="G18" s="45">
        <v>500</v>
      </c>
      <c r="H18" s="23">
        <f t="shared" si="0"/>
        <v>500</v>
      </c>
      <c r="I18" s="40">
        <f t="shared" si="1"/>
        <v>403.60837165110075</v>
      </c>
    </row>
    <row r="19" spans="2:9" ht="12.75">
      <c r="B19" s="33"/>
      <c r="C19" s="5"/>
      <c r="D19" s="17">
        <v>2005</v>
      </c>
      <c r="E19" s="62">
        <v>5</v>
      </c>
      <c r="F19" s="2"/>
      <c r="G19" s="45">
        <v>500</v>
      </c>
      <c r="H19" s="23">
        <f t="shared" si="0"/>
        <v>500</v>
      </c>
      <c r="I19" s="40">
        <f t="shared" si="1"/>
        <v>382.5671769204747</v>
      </c>
    </row>
    <row r="20" spans="2:9" ht="12.75">
      <c r="B20" s="33"/>
      <c r="C20" s="5"/>
      <c r="D20" s="17">
        <v>2006</v>
      </c>
      <c r="E20" s="62">
        <v>6</v>
      </c>
      <c r="F20" s="2"/>
      <c r="G20" s="45">
        <v>500</v>
      </c>
      <c r="H20" s="23">
        <f t="shared" si="0"/>
        <v>500</v>
      </c>
      <c r="I20" s="40">
        <f t="shared" si="1"/>
        <v>362.6229165122983</v>
      </c>
    </row>
    <row r="21" spans="2:9" ht="12.75">
      <c r="B21" s="33"/>
      <c r="C21" s="5"/>
      <c r="D21" s="17">
        <v>2007</v>
      </c>
      <c r="E21" s="62">
        <v>7</v>
      </c>
      <c r="F21" s="2"/>
      <c r="G21" s="2">
        <v>14000</v>
      </c>
      <c r="H21" s="23">
        <f t="shared" si="0"/>
        <v>14000</v>
      </c>
      <c r="I21" s="40">
        <f t="shared" si="1"/>
        <v>9624.11531975768</v>
      </c>
    </row>
    <row r="22" spans="2:9" ht="12.75">
      <c r="B22" s="33"/>
      <c r="C22" s="5"/>
      <c r="D22" s="17"/>
      <c r="E22" s="62"/>
      <c r="F22" s="2"/>
      <c r="G22" s="2"/>
      <c r="H22" s="23">
        <f t="shared" si="0"/>
        <v>0</v>
      </c>
      <c r="I22" s="40">
        <f t="shared" si="1"/>
        <v>0</v>
      </c>
    </row>
    <row r="23" spans="2:9" ht="13.5" thickBot="1">
      <c r="B23" s="34"/>
      <c r="C23" s="36"/>
      <c r="D23" s="25"/>
      <c r="E23" s="66"/>
      <c r="F23" s="24"/>
      <c r="G23" s="24"/>
      <c r="H23" s="26">
        <f t="shared" si="0"/>
        <v>0</v>
      </c>
      <c r="I23" s="41">
        <f t="shared" si="1"/>
        <v>0</v>
      </c>
    </row>
    <row r="24" ht="13.5" thickBot="1">
      <c r="I24" s="39">
        <f>SUM(I14:I23)</f>
        <v>-801.2793830665341</v>
      </c>
    </row>
    <row r="25" ht="12.75">
      <c r="F25" s="27"/>
    </row>
    <row r="26" ht="13.5" thickBot="1"/>
    <row r="27" spans="2:11" ht="13.5" thickBot="1">
      <c r="B27" s="226" t="s">
        <v>24</v>
      </c>
      <c r="C27" s="232"/>
      <c r="D27" s="232"/>
      <c r="E27" s="232"/>
      <c r="F27" s="232"/>
      <c r="G27" s="232"/>
      <c r="H27" s="227"/>
      <c r="I27" s="227"/>
      <c r="J27" s="227"/>
      <c r="K27" s="228"/>
    </row>
    <row r="28" spans="2:11" ht="13.5" thickBot="1">
      <c r="B28" s="28" t="s">
        <v>2</v>
      </c>
      <c r="C28" s="19" t="s">
        <v>22</v>
      </c>
      <c r="D28" s="18" t="s">
        <v>0</v>
      </c>
      <c r="E28" s="19" t="s">
        <v>21</v>
      </c>
      <c r="F28" s="19" t="s">
        <v>18</v>
      </c>
      <c r="G28" s="19" t="s">
        <v>19</v>
      </c>
      <c r="H28" s="19" t="s">
        <v>25</v>
      </c>
      <c r="I28" s="42" t="s">
        <v>26</v>
      </c>
      <c r="J28" s="48" t="s">
        <v>23</v>
      </c>
      <c r="K28" s="37" t="s">
        <v>29</v>
      </c>
    </row>
    <row r="29" spans="2:9" ht="12.75">
      <c r="B29" s="64">
        <v>4</v>
      </c>
      <c r="C29" s="63">
        <v>8</v>
      </c>
      <c r="D29" s="21">
        <v>2001</v>
      </c>
      <c r="E29" s="61">
        <v>0</v>
      </c>
      <c r="F29" s="20">
        <v>5000</v>
      </c>
      <c r="G29" s="44"/>
      <c r="H29" s="49">
        <f>F29</f>
        <v>5000</v>
      </c>
      <c r="I29" s="50">
        <f>G29</f>
        <v>0</v>
      </c>
    </row>
    <row r="30" spans="2:9" ht="13.5" thickBot="1">
      <c r="B30" s="33"/>
      <c r="C30" s="5"/>
      <c r="D30" s="17">
        <v>2002</v>
      </c>
      <c r="E30" s="62">
        <v>1</v>
      </c>
      <c r="F30" s="2"/>
      <c r="G30" s="45">
        <v>2000</v>
      </c>
      <c r="H30" s="51">
        <f aca="true" t="shared" si="2" ref="H30:H38">F30/((C$29/100)+1)^E30</f>
        <v>0</v>
      </c>
      <c r="I30" s="52">
        <f>G30/((C$29/100)+1)^E30</f>
        <v>1851.8518518518517</v>
      </c>
    </row>
    <row r="31" spans="2:9" ht="13.5" thickBot="1">
      <c r="B31" s="47" t="s">
        <v>27</v>
      </c>
      <c r="C31" s="10"/>
      <c r="D31" s="17">
        <v>2003</v>
      </c>
      <c r="E31" s="62">
        <v>2</v>
      </c>
      <c r="F31" s="2"/>
      <c r="G31" s="45">
        <v>2000</v>
      </c>
      <c r="H31" s="51">
        <f t="shared" si="2"/>
        <v>0</v>
      </c>
      <c r="I31" s="52">
        <f>G31/((C$29/100)+1)^E31</f>
        <v>1714.6776406035665</v>
      </c>
    </row>
    <row r="32" spans="2:9" ht="12.75">
      <c r="B32" s="65">
        <v>4</v>
      </c>
      <c r="C32" s="5"/>
      <c r="D32" s="17">
        <v>2004</v>
      </c>
      <c r="E32" s="62">
        <v>3</v>
      </c>
      <c r="F32" s="2"/>
      <c r="G32" s="45">
        <v>2000</v>
      </c>
      <c r="H32" s="51">
        <f t="shared" si="2"/>
        <v>0</v>
      </c>
      <c r="I32" s="52">
        <f aca="true" t="shared" si="3" ref="I32:I38">G32/((C$29/100)+1)^E32</f>
        <v>1587.6644820403392</v>
      </c>
    </row>
    <row r="33" spans="2:9" ht="13.5" thickBot="1">
      <c r="B33" s="33"/>
      <c r="C33" s="5"/>
      <c r="D33" s="17">
        <v>2005</v>
      </c>
      <c r="E33" s="62">
        <v>4</v>
      </c>
      <c r="F33" s="2"/>
      <c r="G33" s="45">
        <v>2000</v>
      </c>
      <c r="H33" s="51">
        <f t="shared" si="2"/>
        <v>0</v>
      </c>
      <c r="I33" s="52">
        <f t="shared" si="3"/>
        <v>1470.0597055929065</v>
      </c>
    </row>
    <row r="34" spans="2:9" ht="13.5" thickBot="1">
      <c r="B34" s="47" t="s">
        <v>28</v>
      </c>
      <c r="C34" s="10"/>
      <c r="D34" s="17">
        <v>2006</v>
      </c>
      <c r="E34" s="62"/>
      <c r="F34" s="2"/>
      <c r="G34" s="45"/>
      <c r="H34" s="51">
        <f t="shared" si="2"/>
        <v>0</v>
      </c>
      <c r="I34" s="52">
        <f t="shared" si="3"/>
        <v>0</v>
      </c>
    </row>
    <row r="35" spans="2:9" ht="12.75">
      <c r="B35" s="65">
        <v>4</v>
      </c>
      <c r="C35" s="5"/>
      <c r="D35" s="17">
        <v>2007</v>
      </c>
      <c r="E35" s="62"/>
      <c r="F35" s="2"/>
      <c r="G35" s="45"/>
      <c r="H35" s="51">
        <f t="shared" si="2"/>
        <v>0</v>
      </c>
      <c r="I35" s="52">
        <f t="shared" si="3"/>
        <v>0</v>
      </c>
    </row>
    <row r="36" spans="2:9" ht="12.75">
      <c r="B36" s="33"/>
      <c r="C36" s="5"/>
      <c r="D36" s="17"/>
      <c r="E36" s="62"/>
      <c r="F36" s="2"/>
      <c r="G36" s="45"/>
      <c r="H36" s="51">
        <f t="shared" si="2"/>
        <v>0</v>
      </c>
      <c r="I36" s="52">
        <f t="shared" si="3"/>
        <v>0</v>
      </c>
    </row>
    <row r="37" spans="2:9" ht="12.75">
      <c r="B37" s="33"/>
      <c r="C37" s="5"/>
      <c r="D37" s="17"/>
      <c r="E37" s="62"/>
      <c r="F37" s="2"/>
      <c r="G37" s="45"/>
      <c r="H37" s="51">
        <f t="shared" si="2"/>
        <v>0</v>
      </c>
      <c r="I37" s="52">
        <f t="shared" si="3"/>
        <v>0</v>
      </c>
    </row>
    <row r="38" spans="2:9" ht="13.5" thickBot="1">
      <c r="B38" s="34"/>
      <c r="C38" s="36"/>
      <c r="D38" s="25"/>
      <c r="E38" s="66"/>
      <c r="F38" s="24"/>
      <c r="G38" s="46"/>
      <c r="H38" s="53">
        <f t="shared" si="2"/>
        <v>0</v>
      </c>
      <c r="I38" s="54">
        <f t="shared" si="3"/>
        <v>0</v>
      </c>
    </row>
    <row r="39" spans="8:11" ht="13.5" thickBot="1">
      <c r="H39" s="55">
        <f>SUM(H29:H38)</f>
        <v>5000</v>
      </c>
      <c r="I39" s="59">
        <f>SUM(I29:I38)</f>
        <v>6624.253680088664</v>
      </c>
      <c r="J39" s="57">
        <f>I39-H39</f>
        <v>1624.2536800886637</v>
      </c>
      <c r="K39" s="58">
        <f>((($C$29/100)+1)^$B$35)*($C$29/100)/(((($C$29/100)+1)^$B$35)-1)*J39</f>
        <v>490.39597772980284</v>
      </c>
    </row>
    <row r="40" spans="8:11" ht="13.5" thickBot="1">
      <c r="H40" s="56">
        <f>((($C$29/100)+1)^$B$29)*($C$29/100)/(((($C$29/100)+1)^$B$29)-1)*H39</f>
        <v>1509.6040222701956</v>
      </c>
      <c r="I40" s="60">
        <f>((($C$29/100)+1)^$B$32)*($C$29/100)/(((($C$29/100)+1)^$B$32)-1)*I39</f>
        <v>1999.9999999999984</v>
      </c>
      <c r="J40" s="43"/>
      <c r="K40" s="58">
        <f>I40-H40</f>
        <v>490.3959777298028</v>
      </c>
    </row>
    <row r="41" spans="8:9" ht="12.75">
      <c r="H41" s="27"/>
      <c r="I41" s="27"/>
    </row>
    <row r="42" ht="12.75">
      <c r="I42" s="38"/>
    </row>
    <row r="43" ht="12.75">
      <c r="I43" s="38"/>
    </row>
    <row r="45" spans="2:4" ht="12.75">
      <c r="B45" s="229" t="s">
        <v>6</v>
      </c>
      <c r="C45" s="230"/>
      <c r="D45" s="231"/>
    </row>
    <row r="46" spans="2:4" ht="12.75">
      <c r="B46" s="1"/>
      <c r="C46" s="1"/>
      <c r="D46" s="1"/>
    </row>
    <row r="47" spans="2:4" ht="12.75">
      <c r="B47" s="1" t="s">
        <v>8</v>
      </c>
      <c r="C47" s="2" t="s">
        <v>7</v>
      </c>
      <c r="D47" s="1"/>
    </row>
    <row r="48" spans="2:4" ht="12.75">
      <c r="B48" s="1" t="s">
        <v>11</v>
      </c>
      <c r="C48" s="2" t="s">
        <v>9</v>
      </c>
      <c r="D48" s="1">
        <v>75000</v>
      </c>
    </row>
    <row r="49" spans="2:4" ht="12.75">
      <c r="B49" s="1" t="s">
        <v>12</v>
      </c>
      <c r="C49" s="2" t="s">
        <v>10</v>
      </c>
      <c r="D49" s="1">
        <v>1.06</v>
      </c>
    </row>
    <row r="50" spans="2:4" ht="12.75">
      <c r="B50" s="1" t="s">
        <v>1</v>
      </c>
      <c r="C50" s="2" t="s">
        <v>13</v>
      </c>
      <c r="D50" s="1">
        <v>15</v>
      </c>
    </row>
    <row r="51" spans="2:4" ht="12.75">
      <c r="B51" s="1"/>
      <c r="C51" s="2"/>
      <c r="D51" s="1"/>
    </row>
    <row r="52" spans="2:4" ht="12.75">
      <c r="B52" s="1" t="s">
        <v>14</v>
      </c>
      <c r="C52" s="2" t="s">
        <v>15</v>
      </c>
      <c r="D52" s="14">
        <f>D48/(D49^D50)*((D49^D50-1)/(D49-1))</f>
        <v>728418.674080574</v>
      </c>
    </row>
    <row r="55" spans="2:5" ht="12.75">
      <c r="B55" s="2" t="s">
        <v>12</v>
      </c>
      <c r="C55" s="2" t="s">
        <v>0</v>
      </c>
      <c r="D55" s="13" t="s">
        <v>8</v>
      </c>
      <c r="E55" s="13" t="s">
        <v>14</v>
      </c>
    </row>
    <row r="56" spans="2:5" ht="12.75">
      <c r="B56" s="1"/>
      <c r="C56" s="1"/>
      <c r="D56" s="1"/>
      <c r="E56" s="1"/>
    </row>
    <row r="57" spans="2:5" ht="12.75">
      <c r="B57" s="1"/>
      <c r="C57" s="2">
        <v>0</v>
      </c>
      <c r="D57" s="1">
        <v>100000</v>
      </c>
      <c r="E57" s="14">
        <f aca="true" t="shared" si="4" ref="E57:E71">($D$57/(B$58^(C57+1)))*(((B$58^(C57+1)-1)/(B$58-1)))</f>
        <v>95693.77990430623</v>
      </c>
    </row>
    <row r="58" spans="2:5" ht="12.75">
      <c r="B58" s="2">
        <v>1.045</v>
      </c>
      <c r="C58" s="2">
        <v>1</v>
      </c>
      <c r="D58" s="1">
        <f aca="true" t="shared" si="5" ref="D58:D71">D$57*B$58^C58</f>
        <v>104500</v>
      </c>
      <c r="E58" s="14">
        <f t="shared" si="4"/>
        <v>187266.77502804415</v>
      </c>
    </row>
    <row r="59" spans="2:5" ht="12.75">
      <c r="B59" s="1"/>
      <c r="C59" s="2">
        <v>2</v>
      </c>
      <c r="D59" s="14">
        <f t="shared" si="5"/>
        <v>109202.49999999999</v>
      </c>
      <c r="E59" s="14">
        <f t="shared" si="4"/>
        <v>274896.43543353525</v>
      </c>
    </row>
    <row r="60" spans="2:5" ht="12.75">
      <c r="B60" s="1"/>
      <c r="C60" s="2">
        <v>3</v>
      </c>
      <c r="D60" s="14">
        <f t="shared" si="5"/>
        <v>114116.61249999997</v>
      </c>
      <c r="E60" s="14">
        <f t="shared" si="4"/>
        <v>358752.5697928563</v>
      </c>
    </row>
    <row r="61" spans="2:5" ht="12.75">
      <c r="B61" s="1"/>
      <c r="C61" s="2">
        <v>4</v>
      </c>
      <c r="D61" s="14">
        <f t="shared" si="5"/>
        <v>119251.86006249995</v>
      </c>
      <c r="E61" s="14">
        <f t="shared" si="4"/>
        <v>438997.67444292497</v>
      </c>
    </row>
    <row r="62" spans="2:5" ht="12.75">
      <c r="B62" s="1"/>
      <c r="C62" s="2">
        <v>5</v>
      </c>
      <c r="D62" s="14">
        <f t="shared" si="5"/>
        <v>124618.19376531245</v>
      </c>
      <c r="E62" s="14">
        <f t="shared" si="4"/>
        <v>515787.2482707413</v>
      </c>
    </row>
    <row r="63" spans="2:5" ht="12.75">
      <c r="B63" s="1"/>
      <c r="C63" s="2">
        <v>6</v>
      </c>
      <c r="D63" s="14">
        <f t="shared" si="5"/>
        <v>130226.01248475147</v>
      </c>
      <c r="E63" s="14">
        <f t="shared" si="4"/>
        <v>589270.0940389871</v>
      </c>
    </row>
    <row r="64" spans="2:5" ht="12.75">
      <c r="B64" s="1"/>
      <c r="C64" s="2">
        <v>7</v>
      </c>
      <c r="D64" s="14">
        <f t="shared" si="5"/>
        <v>136086.1830465653</v>
      </c>
      <c r="E64" s="14">
        <f t="shared" si="4"/>
        <v>659588.6067358725</v>
      </c>
    </row>
    <row r="65" spans="2:5" ht="12.75">
      <c r="B65" s="1"/>
      <c r="C65" s="2">
        <v>8</v>
      </c>
      <c r="D65" s="14">
        <f t="shared" si="5"/>
        <v>142210.0612836607</v>
      </c>
      <c r="E65" s="14">
        <f t="shared" si="4"/>
        <v>726879.049508012</v>
      </c>
    </row>
    <row r="66" spans="2:5" ht="12.75">
      <c r="B66" s="1"/>
      <c r="C66" s="2">
        <v>9</v>
      </c>
      <c r="D66" s="14">
        <f t="shared" si="5"/>
        <v>148609.51404142543</v>
      </c>
      <c r="E66" s="14">
        <f t="shared" si="4"/>
        <v>791271.8177110162</v>
      </c>
    </row>
    <row r="67" spans="2:5" ht="12.75">
      <c r="B67" s="1"/>
      <c r="C67" s="2">
        <v>10</v>
      </c>
      <c r="D67" s="14">
        <f t="shared" si="5"/>
        <v>155296.94217328954</v>
      </c>
      <c r="E67" s="14">
        <f t="shared" si="4"/>
        <v>852891.6915894893</v>
      </c>
    </row>
    <row r="68" spans="2:5" ht="12.75">
      <c r="B68" s="1"/>
      <c r="C68" s="2">
        <v>11</v>
      </c>
      <c r="D68" s="14">
        <f t="shared" si="5"/>
        <v>162285.30457108756</v>
      </c>
      <c r="E68" s="14">
        <f t="shared" si="4"/>
        <v>911858.0780760662</v>
      </c>
    </row>
    <row r="69" spans="2:5" ht="12.75">
      <c r="B69" s="1"/>
      <c r="C69" s="2">
        <v>12</v>
      </c>
      <c r="D69" s="14">
        <f t="shared" si="5"/>
        <v>169588.14327678646</v>
      </c>
      <c r="E69" s="14">
        <f t="shared" si="4"/>
        <v>968285.2421780541</v>
      </c>
    </row>
    <row r="70" spans="2:5" ht="12.75">
      <c r="B70" s="1"/>
      <c r="C70" s="2">
        <v>13</v>
      </c>
      <c r="D70" s="14">
        <f t="shared" si="5"/>
        <v>177219.60972424186</v>
      </c>
      <c r="E70" s="14">
        <f t="shared" si="4"/>
        <v>1022282.5284000515</v>
      </c>
    </row>
    <row r="71" spans="2:5" ht="12.75">
      <c r="B71" s="1"/>
      <c r="C71" s="2">
        <v>14</v>
      </c>
      <c r="D71" s="14">
        <f t="shared" si="5"/>
        <v>185194.4921618327</v>
      </c>
      <c r="E71" s="14">
        <f t="shared" si="4"/>
        <v>1073954.5726316287</v>
      </c>
    </row>
    <row r="72" spans="2:5" ht="12.75">
      <c r="B72" s="1"/>
      <c r="C72" s="1"/>
      <c r="D72" s="1"/>
      <c r="E72" s="1"/>
    </row>
    <row r="73" spans="2:5" ht="12.75">
      <c r="B73" s="1"/>
      <c r="C73" s="1"/>
      <c r="D73" s="15">
        <f>SUM(D56:D71)</f>
        <v>2078405.4290914533</v>
      </c>
      <c r="E73" s="16"/>
    </row>
    <row r="76" ht="13.5" thickBot="1"/>
    <row r="77" spans="2:7" ht="13.5" thickBot="1">
      <c r="B77" s="224" t="s">
        <v>30</v>
      </c>
      <c r="C77" s="219"/>
      <c r="D77" s="219"/>
      <c r="E77" s="219"/>
      <c r="F77" s="219"/>
      <c r="G77" s="225"/>
    </row>
    <row r="78" spans="2:7" ht="13.5" thickBot="1">
      <c r="B78" s="77" t="s">
        <v>22</v>
      </c>
      <c r="C78" s="19" t="s">
        <v>31</v>
      </c>
      <c r="D78" s="19" t="s">
        <v>32</v>
      </c>
      <c r="E78" s="19" t="s">
        <v>34</v>
      </c>
      <c r="F78" s="19" t="s">
        <v>35</v>
      </c>
      <c r="G78" s="78" t="s">
        <v>36</v>
      </c>
    </row>
    <row r="79" spans="2:7" ht="13.5" thickBot="1">
      <c r="B79" s="79"/>
      <c r="C79" s="19"/>
      <c r="D79" s="67" t="s">
        <v>33</v>
      </c>
      <c r="E79" s="19"/>
      <c r="F79" s="19"/>
      <c r="G79" s="78"/>
    </row>
    <row r="80" spans="2:7" ht="12.75">
      <c r="B80" s="86">
        <v>9</v>
      </c>
      <c r="C80" s="44">
        <v>1</v>
      </c>
      <c r="D80" s="75">
        <v>120000</v>
      </c>
      <c r="E80" s="87">
        <f>D80*$B$80/100</f>
        <v>10800</v>
      </c>
      <c r="F80" s="75">
        <v>12000</v>
      </c>
      <c r="G80" s="88">
        <f>F80+E80</f>
        <v>22800</v>
      </c>
    </row>
    <row r="81" spans="2:7" ht="12.75">
      <c r="B81" s="76"/>
      <c r="C81" s="45">
        <v>2</v>
      </c>
      <c r="D81" s="70">
        <f>D80-F80</f>
        <v>108000</v>
      </c>
      <c r="E81" s="69">
        <f aca="true" t="shared" si="6" ref="E81:E127">D81*$B$80/100</f>
        <v>9720</v>
      </c>
      <c r="F81" s="70">
        <f aca="true" t="shared" si="7" ref="F81:F89">$F$80</f>
        <v>12000</v>
      </c>
      <c r="G81" s="80">
        <f aca="true" t="shared" si="8" ref="G81:G89">F81+E81</f>
        <v>21720</v>
      </c>
    </row>
    <row r="82" spans="2:7" ht="12.75">
      <c r="B82" s="76"/>
      <c r="C82" s="45">
        <v>3</v>
      </c>
      <c r="D82" s="70">
        <f aca="true" t="shared" si="9" ref="D82:D127">D81-F81</f>
        <v>96000</v>
      </c>
      <c r="E82" s="69">
        <f t="shared" si="6"/>
        <v>8640</v>
      </c>
      <c r="F82" s="70">
        <f t="shared" si="7"/>
        <v>12000</v>
      </c>
      <c r="G82" s="80">
        <f t="shared" si="8"/>
        <v>20640</v>
      </c>
    </row>
    <row r="83" spans="2:7" ht="12.75">
      <c r="B83" s="76"/>
      <c r="C83" s="45">
        <v>4</v>
      </c>
      <c r="D83" s="70">
        <f t="shared" si="9"/>
        <v>84000</v>
      </c>
      <c r="E83" s="69">
        <f t="shared" si="6"/>
        <v>7560</v>
      </c>
      <c r="F83" s="70">
        <f t="shared" si="7"/>
        <v>12000</v>
      </c>
      <c r="G83" s="80">
        <f t="shared" si="8"/>
        <v>19560</v>
      </c>
    </row>
    <row r="84" spans="2:7" ht="12.75">
      <c r="B84" s="76"/>
      <c r="C84" s="68">
        <v>5</v>
      </c>
      <c r="D84" s="70">
        <f t="shared" si="9"/>
        <v>72000</v>
      </c>
      <c r="E84" s="69">
        <f t="shared" si="6"/>
        <v>6480</v>
      </c>
      <c r="F84" s="70">
        <f t="shared" si="7"/>
        <v>12000</v>
      </c>
      <c r="G84" s="80">
        <f t="shared" si="8"/>
        <v>18480</v>
      </c>
    </row>
    <row r="85" spans="2:7" ht="12.75">
      <c r="B85" s="76"/>
      <c r="C85" s="68">
        <v>6</v>
      </c>
      <c r="D85" s="70">
        <f t="shared" si="9"/>
        <v>60000</v>
      </c>
      <c r="E85" s="69">
        <f t="shared" si="6"/>
        <v>5400</v>
      </c>
      <c r="F85" s="70">
        <f t="shared" si="7"/>
        <v>12000</v>
      </c>
      <c r="G85" s="80">
        <f t="shared" si="8"/>
        <v>17400</v>
      </c>
    </row>
    <row r="86" spans="2:7" ht="12.75">
      <c r="B86" s="76"/>
      <c r="C86" s="68">
        <v>7</v>
      </c>
      <c r="D86" s="70">
        <f t="shared" si="9"/>
        <v>48000</v>
      </c>
      <c r="E86" s="69">
        <f t="shared" si="6"/>
        <v>4320</v>
      </c>
      <c r="F86" s="70">
        <f t="shared" si="7"/>
        <v>12000</v>
      </c>
      <c r="G86" s="80">
        <f t="shared" si="8"/>
        <v>16320</v>
      </c>
    </row>
    <row r="87" spans="2:7" ht="12.75">
      <c r="B87" s="76"/>
      <c r="C87" s="68">
        <v>8</v>
      </c>
      <c r="D87" s="70">
        <f t="shared" si="9"/>
        <v>36000</v>
      </c>
      <c r="E87" s="69">
        <f t="shared" si="6"/>
        <v>3240</v>
      </c>
      <c r="F87" s="70">
        <f t="shared" si="7"/>
        <v>12000</v>
      </c>
      <c r="G87" s="80">
        <f t="shared" si="8"/>
        <v>15240</v>
      </c>
    </row>
    <row r="88" spans="2:7" ht="12.75">
      <c r="B88" s="74"/>
      <c r="C88" s="82">
        <v>9</v>
      </c>
      <c r="D88" s="70">
        <f t="shared" si="9"/>
        <v>24000</v>
      </c>
      <c r="E88" s="84">
        <f t="shared" si="6"/>
        <v>2160</v>
      </c>
      <c r="F88" s="83">
        <f t="shared" si="7"/>
        <v>12000</v>
      </c>
      <c r="G88" s="85">
        <f t="shared" si="8"/>
        <v>14160</v>
      </c>
    </row>
    <row r="89" spans="2:7" ht="12.75">
      <c r="B89" s="76"/>
      <c r="C89" s="68">
        <v>10</v>
      </c>
      <c r="D89" s="70">
        <f t="shared" si="9"/>
        <v>12000</v>
      </c>
      <c r="E89" s="70">
        <f t="shared" si="6"/>
        <v>1080</v>
      </c>
      <c r="F89" s="70">
        <f t="shared" si="7"/>
        <v>12000</v>
      </c>
      <c r="G89" s="89">
        <f t="shared" si="8"/>
        <v>13080</v>
      </c>
    </row>
    <row r="90" spans="2:7" ht="12.75">
      <c r="B90" s="76"/>
      <c r="C90" s="68">
        <v>11</v>
      </c>
      <c r="D90" s="70">
        <f t="shared" si="9"/>
        <v>0</v>
      </c>
      <c r="E90" s="70">
        <f t="shared" si="6"/>
        <v>0</v>
      </c>
      <c r="F90" s="70">
        <f aca="true" t="shared" si="10" ref="F90:F127">$F$80</f>
        <v>12000</v>
      </c>
      <c r="G90" s="89">
        <f aca="true" t="shared" si="11" ref="G90:G100">F90+E90</f>
        <v>12000</v>
      </c>
    </row>
    <row r="91" spans="2:7" ht="12.75">
      <c r="B91" s="76"/>
      <c r="C91" s="68">
        <v>12</v>
      </c>
      <c r="D91" s="70">
        <f t="shared" si="9"/>
        <v>-12000</v>
      </c>
      <c r="E91" s="70">
        <f t="shared" si="6"/>
        <v>-1080</v>
      </c>
      <c r="F91" s="70">
        <f t="shared" si="10"/>
        <v>12000</v>
      </c>
      <c r="G91" s="89">
        <f t="shared" si="11"/>
        <v>10920</v>
      </c>
    </row>
    <row r="92" spans="2:7" ht="12.75">
      <c r="B92" s="76"/>
      <c r="C92" s="68">
        <v>13</v>
      </c>
      <c r="D92" s="70">
        <f t="shared" si="9"/>
        <v>-24000</v>
      </c>
      <c r="E92" s="70">
        <f t="shared" si="6"/>
        <v>-2160</v>
      </c>
      <c r="F92" s="70">
        <f t="shared" si="10"/>
        <v>12000</v>
      </c>
      <c r="G92" s="89">
        <f t="shared" si="11"/>
        <v>9840</v>
      </c>
    </row>
    <row r="93" spans="2:7" ht="12.75">
      <c r="B93" s="76"/>
      <c r="C93" s="68">
        <v>14</v>
      </c>
      <c r="D93" s="70">
        <f t="shared" si="9"/>
        <v>-36000</v>
      </c>
      <c r="E93" s="70">
        <f t="shared" si="6"/>
        <v>-3240</v>
      </c>
      <c r="F93" s="70">
        <f t="shared" si="10"/>
        <v>12000</v>
      </c>
      <c r="G93" s="89">
        <f t="shared" si="11"/>
        <v>8760</v>
      </c>
    </row>
    <row r="94" spans="2:7" ht="12.75">
      <c r="B94" s="76"/>
      <c r="C94" s="68">
        <v>15</v>
      </c>
      <c r="D94" s="70">
        <f t="shared" si="9"/>
        <v>-48000</v>
      </c>
      <c r="E94" s="70">
        <f t="shared" si="6"/>
        <v>-4320</v>
      </c>
      <c r="F94" s="70">
        <f t="shared" si="10"/>
        <v>12000</v>
      </c>
      <c r="G94" s="89">
        <f t="shared" si="11"/>
        <v>7680</v>
      </c>
    </row>
    <row r="95" spans="2:7" ht="12.75">
      <c r="B95" s="76"/>
      <c r="C95" s="68">
        <v>16</v>
      </c>
      <c r="D95" s="70">
        <f t="shared" si="9"/>
        <v>-60000</v>
      </c>
      <c r="E95" s="70">
        <f t="shared" si="6"/>
        <v>-5400</v>
      </c>
      <c r="F95" s="70">
        <f t="shared" si="10"/>
        <v>12000</v>
      </c>
      <c r="G95" s="89">
        <f t="shared" si="11"/>
        <v>6600</v>
      </c>
    </row>
    <row r="96" spans="2:7" ht="12.75">
      <c r="B96" s="76"/>
      <c r="C96" s="68">
        <v>17</v>
      </c>
      <c r="D96" s="70">
        <f t="shared" si="9"/>
        <v>-72000</v>
      </c>
      <c r="E96" s="70">
        <f t="shared" si="6"/>
        <v>-6480</v>
      </c>
      <c r="F96" s="70">
        <f t="shared" si="10"/>
        <v>12000</v>
      </c>
      <c r="G96" s="89">
        <f t="shared" si="11"/>
        <v>5520</v>
      </c>
    </row>
    <row r="97" spans="2:7" ht="12.75">
      <c r="B97" s="76"/>
      <c r="C97" s="68">
        <v>18</v>
      </c>
      <c r="D97" s="70">
        <f t="shared" si="9"/>
        <v>-84000</v>
      </c>
      <c r="E97" s="70">
        <f t="shared" si="6"/>
        <v>-7560</v>
      </c>
      <c r="F97" s="70">
        <f t="shared" si="10"/>
        <v>12000</v>
      </c>
      <c r="G97" s="89">
        <f t="shared" si="11"/>
        <v>4440</v>
      </c>
    </row>
    <row r="98" spans="2:7" ht="12.75">
      <c r="B98" s="76"/>
      <c r="C98" s="68">
        <v>19</v>
      </c>
      <c r="D98" s="70">
        <f t="shared" si="9"/>
        <v>-96000</v>
      </c>
      <c r="E98" s="70">
        <f t="shared" si="6"/>
        <v>-8640</v>
      </c>
      <c r="F98" s="70">
        <f t="shared" si="10"/>
        <v>12000</v>
      </c>
      <c r="G98" s="89">
        <f t="shared" si="11"/>
        <v>3360</v>
      </c>
    </row>
    <row r="99" spans="2:7" ht="12.75">
      <c r="B99" s="76"/>
      <c r="C99" s="68">
        <v>20</v>
      </c>
      <c r="D99" s="70">
        <f t="shared" si="9"/>
        <v>-108000</v>
      </c>
      <c r="E99" s="70">
        <f t="shared" si="6"/>
        <v>-9720</v>
      </c>
      <c r="F99" s="70">
        <f t="shared" si="10"/>
        <v>12000</v>
      </c>
      <c r="G99" s="89">
        <f t="shared" si="11"/>
        <v>2280</v>
      </c>
    </row>
    <row r="100" spans="2:7" ht="12.75">
      <c r="B100" s="76"/>
      <c r="C100" s="68">
        <v>21</v>
      </c>
      <c r="D100" s="70">
        <f t="shared" si="9"/>
        <v>-120000</v>
      </c>
      <c r="E100" s="70">
        <f t="shared" si="6"/>
        <v>-10800</v>
      </c>
      <c r="F100" s="70">
        <f t="shared" si="10"/>
        <v>12000</v>
      </c>
      <c r="G100" s="89">
        <f t="shared" si="11"/>
        <v>1200</v>
      </c>
    </row>
    <row r="101" spans="2:7" ht="12.75">
      <c r="B101" s="76"/>
      <c r="C101" s="68">
        <v>22</v>
      </c>
      <c r="D101" s="70">
        <f t="shared" si="9"/>
        <v>-132000</v>
      </c>
      <c r="E101" s="70">
        <f t="shared" si="6"/>
        <v>-11880</v>
      </c>
      <c r="F101" s="70">
        <f t="shared" si="10"/>
        <v>12000</v>
      </c>
      <c r="G101" s="89">
        <f aca="true" t="shared" si="12" ref="G101:G127">F101+E101</f>
        <v>120</v>
      </c>
    </row>
    <row r="102" spans="2:7" ht="12.75">
      <c r="B102" s="76"/>
      <c r="C102" s="68">
        <v>23</v>
      </c>
      <c r="D102" s="70">
        <f t="shared" si="9"/>
        <v>-144000</v>
      </c>
      <c r="E102" s="70">
        <f t="shared" si="6"/>
        <v>-12960</v>
      </c>
      <c r="F102" s="70">
        <f t="shared" si="10"/>
        <v>12000</v>
      </c>
      <c r="G102" s="89">
        <f t="shared" si="12"/>
        <v>-960</v>
      </c>
    </row>
    <row r="103" spans="2:7" ht="12.75">
      <c r="B103" s="76"/>
      <c r="C103" s="68">
        <v>24</v>
      </c>
      <c r="D103" s="70">
        <f t="shared" si="9"/>
        <v>-156000</v>
      </c>
      <c r="E103" s="70">
        <f t="shared" si="6"/>
        <v>-14040</v>
      </c>
      <c r="F103" s="70">
        <f t="shared" si="10"/>
        <v>12000</v>
      </c>
      <c r="G103" s="89">
        <f t="shared" si="12"/>
        <v>-2040</v>
      </c>
    </row>
    <row r="104" spans="2:7" ht="12.75">
      <c r="B104" s="76"/>
      <c r="C104" s="68">
        <v>25</v>
      </c>
      <c r="D104" s="70">
        <f t="shared" si="9"/>
        <v>-168000</v>
      </c>
      <c r="E104" s="70">
        <f t="shared" si="6"/>
        <v>-15120</v>
      </c>
      <c r="F104" s="70">
        <f t="shared" si="10"/>
        <v>12000</v>
      </c>
      <c r="G104" s="89">
        <f t="shared" si="12"/>
        <v>-3120</v>
      </c>
    </row>
    <row r="105" spans="2:7" ht="12.75">
      <c r="B105" s="76"/>
      <c r="C105" s="68">
        <v>26</v>
      </c>
      <c r="D105" s="70">
        <f t="shared" si="9"/>
        <v>-180000</v>
      </c>
      <c r="E105" s="70">
        <f t="shared" si="6"/>
        <v>-16200</v>
      </c>
      <c r="F105" s="70">
        <f t="shared" si="10"/>
        <v>12000</v>
      </c>
      <c r="G105" s="89">
        <f t="shared" si="12"/>
        <v>-4200</v>
      </c>
    </row>
    <row r="106" spans="2:7" ht="12.75">
      <c r="B106" s="76"/>
      <c r="C106" s="68">
        <v>27</v>
      </c>
      <c r="D106" s="70">
        <f t="shared" si="9"/>
        <v>-192000</v>
      </c>
      <c r="E106" s="70">
        <f t="shared" si="6"/>
        <v>-17280</v>
      </c>
      <c r="F106" s="70">
        <f t="shared" si="10"/>
        <v>12000</v>
      </c>
      <c r="G106" s="89">
        <f t="shared" si="12"/>
        <v>-5280</v>
      </c>
    </row>
    <row r="107" spans="2:7" ht="12.75">
      <c r="B107" s="76"/>
      <c r="C107" s="68">
        <v>28</v>
      </c>
      <c r="D107" s="70">
        <f t="shared" si="9"/>
        <v>-204000</v>
      </c>
      <c r="E107" s="70">
        <f t="shared" si="6"/>
        <v>-18360</v>
      </c>
      <c r="F107" s="70">
        <f t="shared" si="10"/>
        <v>12000</v>
      </c>
      <c r="G107" s="89">
        <f t="shared" si="12"/>
        <v>-6360</v>
      </c>
    </row>
    <row r="108" spans="2:7" ht="12.75">
      <c r="B108" s="76"/>
      <c r="C108" s="68">
        <v>29</v>
      </c>
      <c r="D108" s="70">
        <f t="shared" si="9"/>
        <v>-216000</v>
      </c>
      <c r="E108" s="70">
        <f t="shared" si="6"/>
        <v>-19440</v>
      </c>
      <c r="F108" s="70">
        <f t="shared" si="10"/>
        <v>12000</v>
      </c>
      <c r="G108" s="89">
        <f t="shared" si="12"/>
        <v>-7440</v>
      </c>
    </row>
    <row r="109" spans="2:7" ht="12.75">
      <c r="B109" s="76"/>
      <c r="C109" s="68">
        <v>30</v>
      </c>
      <c r="D109" s="70">
        <f t="shared" si="9"/>
        <v>-228000</v>
      </c>
      <c r="E109" s="70">
        <f t="shared" si="6"/>
        <v>-20520</v>
      </c>
      <c r="F109" s="70">
        <f t="shared" si="10"/>
        <v>12000</v>
      </c>
      <c r="G109" s="89">
        <f t="shared" si="12"/>
        <v>-8520</v>
      </c>
    </row>
    <row r="110" spans="2:7" ht="12.75">
      <c r="B110" s="76"/>
      <c r="C110" s="68">
        <v>31</v>
      </c>
      <c r="D110" s="70">
        <f t="shared" si="9"/>
        <v>-240000</v>
      </c>
      <c r="E110" s="70">
        <f t="shared" si="6"/>
        <v>-21600</v>
      </c>
      <c r="F110" s="70">
        <f t="shared" si="10"/>
        <v>12000</v>
      </c>
      <c r="G110" s="89">
        <f t="shared" si="12"/>
        <v>-9600</v>
      </c>
    </row>
    <row r="111" spans="2:7" ht="12.75">
      <c r="B111" s="76"/>
      <c r="C111" s="68">
        <v>32</v>
      </c>
      <c r="D111" s="70">
        <f t="shared" si="9"/>
        <v>-252000</v>
      </c>
      <c r="E111" s="70">
        <f t="shared" si="6"/>
        <v>-22680</v>
      </c>
      <c r="F111" s="70">
        <f t="shared" si="10"/>
        <v>12000</v>
      </c>
      <c r="G111" s="89">
        <f t="shared" si="12"/>
        <v>-10680</v>
      </c>
    </row>
    <row r="112" spans="2:7" ht="12.75">
      <c r="B112" s="76"/>
      <c r="C112" s="68">
        <v>33</v>
      </c>
      <c r="D112" s="70">
        <f t="shared" si="9"/>
        <v>-264000</v>
      </c>
      <c r="E112" s="70">
        <f t="shared" si="6"/>
        <v>-23760</v>
      </c>
      <c r="F112" s="70">
        <f t="shared" si="10"/>
        <v>12000</v>
      </c>
      <c r="G112" s="89">
        <f t="shared" si="12"/>
        <v>-11760</v>
      </c>
    </row>
    <row r="113" spans="2:7" ht="12.75">
      <c r="B113" s="76"/>
      <c r="C113" s="68">
        <v>34</v>
      </c>
      <c r="D113" s="70">
        <f t="shared" si="9"/>
        <v>-276000</v>
      </c>
      <c r="E113" s="70">
        <f t="shared" si="6"/>
        <v>-24840</v>
      </c>
      <c r="F113" s="70">
        <f t="shared" si="10"/>
        <v>12000</v>
      </c>
      <c r="G113" s="89">
        <f t="shared" si="12"/>
        <v>-12840</v>
      </c>
    </row>
    <row r="114" spans="2:7" ht="12.75">
      <c r="B114" s="76"/>
      <c r="C114" s="68">
        <v>35</v>
      </c>
      <c r="D114" s="70">
        <f t="shared" si="9"/>
        <v>-288000</v>
      </c>
      <c r="E114" s="70">
        <f t="shared" si="6"/>
        <v>-25920</v>
      </c>
      <c r="F114" s="70">
        <f t="shared" si="10"/>
        <v>12000</v>
      </c>
      <c r="G114" s="89">
        <f t="shared" si="12"/>
        <v>-13920</v>
      </c>
    </row>
    <row r="115" spans="2:7" ht="12.75">
      <c r="B115" s="76"/>
      <c r="C115" s="68">
        <v>36</v>
      </c>
      <c r="D115" s="70">
        <f t="shared" si="9"/>
        <v>-300000</v>
      </c>
      <c r="E115" s="70">
        <f t="shared" si="6"/>
        <v>-27000</v>
      </c>
      <c r="F115" s="70">
        <f t="shared" si="10"/>
        <v>12000</v>
      </c>
      <c r="G115" s="89">
        <f t="shared" si="12"/>
        <v>-15000</v>
      </c>
    </row>
    <row r="116" spans="2:7" ht="12.75">
      <c r="B116" s="76"/>
      <c r="C116" s="68">
        <v>37</v>
      </c>
      <c r="D116" s="70">
        <f t="shared" si="9"/>
        <v>-312000</v>
      </c>
      <c r="E116" s="70">
        <f t="shared" si="6"/>
        <v>-28080</v>
      </c>
      <c r="F116" s="70">
        <f t="shared" si="10"/>
        <v>12000</v>
      </c>
      <c r="G116" s="89">
        <f t="shared" si="12"/>
        <v>-16080</v>
      </c>
    </row>
    <row r="117" spans="2:7" ht="12.75">
      <c r="B117" s="76"/>
      <c r="C117" s="68">
        <v>38</v>
      </c>
      <c r="D117" s="70">
        <f t="shared" si="9"/>
        <v>-324000</v>
      </c>
      <c r="E117" s="70">
        <f t="shared" si="6"/>
        <v>-29160</v>
      </c>
      <c r="F117" s="70">
        <f t="shared" si="10"/>
        <v>12000</v>
      </c>
      <c r="G117" s="89">
        <f t="shared" si="12"/>
        <v>-17160</v>
      </c>
    </row>
    <row r="118" spans="2:7" ht="12.75">
      <c r="B118" s="76"/>
      <c r="C118" s="68">
        <v>39</v>
      </c>
      <c r="D118" s="70">
        <f t="shared" si="9"/>
        <v>-336000</v>
      </c>
      <c r="E118" s="70">
        <f t="shared" si="6"/>
        <v>-30240</v>
      </c>
      <c r="F118" s="70">
        <f t="shared" si="10"/>
        <v>12000</v>
      </c>
      <c r="G118" s="89">
        <f t="shared" si="12"/>
        <v>-18240</v>
      </c>
    </row>
    <row r="119" spans="2:7" ht="12.75">
      <c r="B119" s="76"/>
      <c r="C119" s="68">
        <v>40</v>
      </c>
      <c r="D119" s="70">
        <f t="shared" si="9"/>
        <v>-348000</v>
      </c>
      <c r="E119" s="70">
        <f t="shared" si="6"/>
        <v>-31320</v>
      </c>
      <c r="F119" s="70">
        <f t="shared" si="10"/>
        <v>12000</v>
      </c>
      <c r="G119" s="89">
        <f t="shared" si="12"/>
        <v>-19320</v>
      </c>
    </row>
    <row r="120" spans="2:7" ht="12.75">
      <c r="B120" s="76"/>
      <c r="C120" s="68">
        <v>41</v>
      </c>
      <c r="D120" s="70">
        <f t="shared" si="9"/>
        <v>-360000</v>
      </c>
      <c r="E120" s="70">
        <f t="shared" si="6"/>
        <v>-32400</v>
      </c>
      <c r="F120" s="70">
        <f t="shared" si="10"/>
        <v>12000</v>
      </c>
      <c r="G120" s="89">
        <f t="shared" si="12"/>
        <v>-20400</v>
      </c>
    </row>
    <row r="121" spans="2:7" ht="12.75">
      <c r="B121" s="76"/>
      <c r="C121" s="68">
        <v>42</v>
      </c>
      <c r="D121" s="70">
        <f t="shared" si="9"/>
        <v>-372000</v>
      </c>
      <c r="E121" s="70">
        <f t="shared" si="6"/>
        <v>-33480</v>
      </c>
      <c r="F121" s="70">
        <f t="shared" si="10"/>
        <v>12000</v>
      </c>
      <c r="G121" s="89">
        <f t="shared" si="12"/>
        <v>-21480</v>
      </c>
    </row>
    <row r="122" spans="2:7" ht="12.75">
      <c r="B122" s="76"/>
      <c r="C122" s="68">
        <v>43</v>
      </c>
      <c r="D122" s="70">
        <f t="shared" si="9"/>
        <v>-384000</v>
      </c>
      <c r="E122" s="70">
        <f t="shared" si="6"/>
        <v>-34560</v>
      </c>
      <c r="F122" s="70">
        <f t="shared" si="10"/>
        <v>12000</v>
      </c>
      <c r="G122" s="89">
        <f t="shared" si="12"/>
        <v>-22560</v>
      </c>
    </row>
    <row r="123" spans="2:7" ht="12.75">
      <c r="B123" s="76"/>
      <c r="C123" s="68">
        <v>44</v>
      </c>
      <c r="D123" s="70">
        <f t="shared" si="9"/>
        <v>-396000</v>
      </c>
      <c r="E123" s="70">
        <f t="shared" si="6"/>
        <v>-35640</v>
      </c>
      <c r="F123" s="70">
        <f t="shared" si="10"/>
        <v>12000</v>
      </c>
      <c r="G123" s="89">
        <f t="shared" si="12"/>
        <v>-23640</v>
      </c>
    </row>
    <row r="124" spans="2:7" ht="12.75">
      <c r="B124" s="76"/>
      <c r="C124" s="68">
        <v>45</v>
      </c>
      <c r="D124" s="70">
        <f t="shared" si="9"/>
        <v>-408000</v>
      </c>
      <c r="E124" s="70">
        <f t="shared" si="6"/>
        <v>-36720</v>
      </c>
      <c r="F124" s="70">
        <f t="shared" si="10"/>
        <v>12000</v>
      </c>
      <c r="G124" s="89">
        <f t="shared" si="12"/>
        <v>-24720</v>
      </c>
    </row>
    <row r="125" spans="2:7" ht="12.75">
      <c r="B125" s="76"/>
      <c r="C125" s="68">
        <v>46</v>
      </c>
      <c r="D125" s="70">
        <f t="shared" si="9"/>
        <v>-420000</v>
      </c>
      <c r="E125" s="70">
        <f t="shared" si="6"/>
        <v>-37800</v>
      </c>
      <c r="F125" s="70">
        <f t="shared" si="10"/>
        <v>12000</v>
      </c>
      <c r="G125" s="89">
        <f t="shared" si="12"/>
        <v>-25800</v>
      </c>
    </row>
    <row r="126" spans="2:7" ht="12.75">
      <c r="B126" s="76"/>
      <c r="C126" s="68">
        <v>47</v>
      </c>
      <c r="D126" s="70">
        <f t="shared" si="9"/>
        <v>-432000</v>
      </c>
      <c r="E126" s="70">
        <f t="shared" si="6"/>
        <v>-38880</v>
      </c>
      <c r="F126" s="70">
        <f t="shared" si="10"/>
        <v>12000</v>
      </c>
      <c r="G126" s="89">
        <f t="shared" si="12"/>
        <v>-26880</v>
      </c>
    </row>
    <row r="127" spans="2:7" ht="13.5" thickBot="1">
      <c r="B127" s="90"/>
      <c r="C127" s="71">
        <v>48</v>
      </c>
      <c r="D127" s="72">
        <f t="shared" si="9"/>
        <v>-444000</v>
      </c>
      <c r="E127" s="72">
        <f t="shared" si="6"/>
        <v>-39960</v>
      </c>
      <c r="F127" s="72">
        <f t="shared" si="10"/>
        <v>12000</v>
      </c>
      <c r="G127" s="81">
        <f t="shared" si="12"/>
        <v>-27960</v>
      </c>
    </row>
    <row r="130" ht="13.5" thickBot="1"/>
    <row r="131" spans="2:7" ht="13.5" thickBot="1">
      <c r="B131" s="226" t="s">
        <v>37</v>
      </c>
      <c r="C131" s="227"/>
      <c r="D131" s="227"/>
      <c r="E131" s="227"/>
      <c r="F131" s="227"/>
      <c r="G131" s="228"/>
    </row>
    <row r="132" spans="2:7" ht="13.5" thickBot="1">
      <c r="B132" s="97"/>
      <c r="C132" s="19" t="s">
        <v>31</v>
      </c>
      <c r="D132" s="19" t="s">
        <v>32</v>
      </c>
      <c r="E132" s="19" t="s">
        <v>34</v>
      </c>
      <c r="F132" s="19" t="s">
        <v>35</v>
      </c>
      <c r="G132" s="78" t="s">
        <v>36</v>
      </c>
    </row>
    <row r="133" spans="2:7" ht="13.5" thickBot="1">
      <c r="B133" s="95" t="s">
        <v>22</v>
      </c>
      <c r="C133" s="77"/>
      <c r="D133" s="67" t="s">
        <v>33</v>
      </c>
      <c r="E133" s="19"/>
      <c r="F133" s="19"/>
      <c r="G133" s="78"/>
    </row>
    <row r="134" spans="2:7" ht="13.5" thickBot="1">
      <c r="B134" s="96">
        <v>0.5</v>
      </c>
      <c r="C134" s="98">
        <v>1</v>
      </c>
      <c r="D134" s="113">
        <v>200000</v>
      </c>
      <c r="E134" s="87">
        <f>D134*$B$134/100</f>
        <v>1000</v>
      </c>
      <c r="F134" s="116">
        <f>G134-E134</f>
        <v>16213.285941416649</v>
      </c>
      <c r="G134" s="100">
        <f>D$134*((((B$134/100)+1)^B$137)*(B$134/100))/((((B$134/100)+1)^B$137)-1)</f>
        <v>17213.28594141665</v>
      </c>
    </row>
    <row r="135" spans="2:7" ht="13.5" thickBot="1">
      <c r="B135" s="73"/>
      <c r="C135" s="99">
        <f>C134+1</f>
        <v>2</v>
      </c>
      <c r="D135" s="114">
        <f>$D$134*(((($B$134/100)+1)^$B$137)-((($B$134/100)+1)^C135))/(((($B$134/100)+1)^$B$137)-1)</f>
        <v>167492.3616874605</v>
      </c>
      <c r="E135" s="70">
        <f aca="true" t="shared" si="13" ref="E135:E181">D135*$B$134/100</f>
        <v>837.4618084373026</v>
      </c>
      <c r="F135" s="117">
        <f aca="true" t="shared" si="14" ref="F135:F181">G135-E135</f>
        <v>16375.824132979345</v>
      </c>
      <c r="G135" s="89">
        <f aca="true" t="shared" si="15" ref="G135:G181">D$134*((((B$134/100)+1)^B$137)*(B$134/100))/((((B$134/100)+1)^B$137)-1)</f>
        <v>17213.28594141665</v>
      </c>
    </row>
    <row r="136" spans="2:7" ht="12.75">
      <c r="B136" s="95" t="s">
        <v>1</v>
      </c>
      <c r="C136" s="99">
        <f aca="true" t="shared" si="16" ref="C136:C181">C135+1</f>
        <v>3</v>
      </c>
      <c r="D136" s="114">
        <f>$D$134*(((($B$134/100)+1)^$B$137)-((($B$134/100)+1)^C136))/(((($B$134/100)+1)^$B$137)-1)</f>
        <v>151116.53755448145</v>
      </c>
      <c r="E136" s="70">
        <f t="shared" si="13"/>
        <v>755.5826877724072</v>
      </c>
      <c r="F136" s="117">
        <f t="shared" si="14"/>
        <v>16457.703253644242</v>
      </c>
      <c r="G136" s="89">
        <f t="shared" si="15"/>
        <v>17213.28594141665</v>
      </c>
    </row>
    <row r="137" spans="2:7" ht="13.5" thickBot="1">
      <c r="B137" s="96">
        <v>12</v>
      </c>
      <c r="C137" s="99">
        <f t="shared" si="16"/>
        <v>4</v>
      </c>
      <c r="D137" s="114">
        <f aca="true" t="shared" si="17" ref="D137:D181">$D$134*(((($B$134/100)+1)^$B$137)-((($B$134/100)+1)^C137))/(((($B$134/100)+1)^$B$137)-1)</f>
        <v>134658.83430083815</v>
      </c>
      <c r="E137" s="70">
        <f t="shared" si="13"/>
        <v>673.2941715041908</v>
      </c>
      <c r="F137" s="117">
        <f t="shared" si="14"/>
        <v>16539.991769912456</v>
      </c>
      <c r="G137" s="89">
        <f t="shared" si="15"/>
        <v>17213.28594141665</v>
      </c>
    </row>
    <row r="138" spans="2:7" ht="12.75">
      <c r="B138" s="94"/>
      <c r="C138" s="99">
        <f t="shared" si="16"/>
        <v>5</v>
      </c>
      <c r="D138" s="114">
        <f t="shared" si="17"/>
        <v>118118.84253092631</v>
      </c>
      <c r="E138" s="70">
        <f t="shared" si="13"/>
        <v>590.5942126546315</v>
      </c>
      <c r="F138" s="117">
        <f t="shared" si="14"/>
        <v>16622.691728762016</v>
      </c>
      <c r="G138" s="89">
        <f t="shared" si="15"/>
        <v>17213.28594141665</v>
      </c>
    </row>
    <row r="139" spans="2:7" ht="12.75">
      <c r="B139" s="92"/>
      <c r="C139" s="99">
        <f t="shared" si="16"/>
        <v>6</v>
      </c>
      <c r="D139" s="114">
        <f t="shared" si="17"/>
        <v>101496.15080216485</v>
      </c>
      <c r="E139" s="70">
        <f t="shared" si="13"/>
        <v>507.4807540108242</v>
      </c>
      <c r="F139" s="117">
        <f t="shared" si="14"/>
        <v>16705.805187405826</v>
      </c>
      <c r="G139" s="89">
        <f t="shared" si="15"/>
        <v>17213.28594141665</v>
      </c>
    </row>
    <row r="140" spans="2:7" ht="12.75">
      <c r="B140" s="92"/>
      <c r="C140" s="99">
        <f t="shared" si="16"/>
        <v>7</v>
      </c>
      <c r="D140" s="114">
        <f t="shared" si="17"/>
        <v>84790.34561475938</v>
      </c>
      <c r="E140" s="70">
        <f t="shared" si="13"/>
        <v>423.9517280737969</v>
      </c>
      <c r="F140" s="117">
        <f t="shared" si="14"/>
        <v>16789.334213342852</v>
      </c>
      <c r="G140" s="89">
        <f t="shared" si="15"/>
        <v>17213.28594141665</v>
      </c>
    </row>
    <row r="141" spans="2:7" ht="12.75">
      <c r="B141" s="92"/>
      <c r="C141" s="99">
        <f t="shared" si="16"/>
        <v>8</v>
      </c>
      <c r="D141" s="114">
        <f t="shared" si="17"/>
        <v>68001.01140141682</v>
      </c>
      <c r="E141" s="70">
        <f t="shared" si="13"/>
        <v>340.00505700708413</v>
      </c>
      <c r="F141" s="117">
        <f t="shared" si="14"/>
        <v>16873.280884409563</v>
      </c>
      <c r="G141" s="89">
        <f t="shared" si="15"/>
        <v>17213.28594141665</v>
      </c>
    </row>
    <row r="142" spans="2:7" ht="12.75">
      <c r="B142" s="91"/>
      <c r="C142" s="99">
        <f t="shared" si="16"/>
        <v>9</v>
      </c>
      <c r="D142" s="114">
        <f t="shared" si="17"/>
        <v>51127.73051700743</v>
      </c>
      <c r="E142" s="70">
        <f t="shared" si="13"/>
        <v>255.63865258503716</v>
      </c>
      <c r="F142" s="117">
        <f t="shared" si="14"/>
        <v>16957.647288831613</v>
      </c>
      <c r="G142" s="89">
        <f t="shared" si="15"/>
        <v>17213.28594141665</v>
      </c>
    </row>
    <row r="143" spans="2:7" ht="12.75">
      <c r="B143" s="92"/>
      <c r="C143" s="99">
        <f t="shared" si="16"/>
        <v>10</v>
      </c>
      <c r="D143" s="114">
        <f t="shared" si="17"/>
        <v>34170.08322817643</v>
      </c>
      <c r="E143" s="70">
        <f t="shared" si="13"/>
        <v>170.85041614088215</v>
      </c>
      <c r="F143" s="117">
        <f t="shared" si="14"/>
        <v>17042.435525275767</v>
      </c>
      <c r="G143" s="89">
        <f t="shared" si="15"/>
        <v>17213.28594141665</v>
      </c>
    </row>
    <row r="144" spans="2:7" ht="12.75">
      <c r="B144" s="92"/>
      <c r="C144" s="99">
        <f t="shared" si="16"/>
        <v>11</v>
      </c>
      <c r="D144" s="114">
        <f t="shared" si="17"/>
        <v>17127.64770290093</v>
      </c>
      <c r="E144" s="70">
        <f t="shared" si="13"/>
        <v>85.63823851450465</v>
      </c>
      <c r="F144" s="117">
        <f t="shared" si="14"/>
        <v>17127.647702902144</v>
      </c>
      <c r="G144" s="89">
        <f t="shared" si="15"/>
        <v>17213.28594141665</v>
      </c>
    </row>
    <row r="145" spans="2:7" ht="12.75">
      <c r="B145" s="92"/>
      <c r="C145" s="99">
        <f t="shared" si="16"/>
        <v>12</v>
      </c>
      <c r="D145" s="114">
        <f t="shared" si="17"/>
        <v>0</v>
      </c>
      <c r="E145" s="70">
        <f t="shared" si="13"/>
        <v>0</v>
      </c>
      <c r="F145" s="117">
        <f t="shared" si="14"/>
        <v>17213.28594141665</v>
      </c>
      <c r="G145" s="89">
        <f t="shared" si="15"/>
        <v>17213.28594141665</v>
      </c>
    </row>
    <row r="146" spans="2:7" ht="12.75">
      <c r="B146" s="92"/>
      <c r="C146" s="99">
        <f t="shared" si="16"/>
        <v>13</v>
      </c>
      <c r="D146" s="114">
        <f t="shared" si="17"/>
        <v>-17213.285941416376</v>
      </c>
      <c r="E146" s="70">
        <f t="shared" si="13"/>
        <v>-86.06642970708188</v>
      </c>
      <c r="F146" s="117">
        <f t="shared" si="14"/>
        <v>17299.352371123732</v>
      </c>
      <c r="G146" s="89">
        <f t="shared" si="15"/>
        <v>17213.28594141665</v>
      </c>
    </row>
    <row r="147" spans="2:7" ht="12.75">
      <c r="B147" s="92"/>
      <c r="C147" s="99">
        <f t="shared" si="16"/>
        <v>14</v>
      </c>
      <c r="D147" s="114">
        <f t="shared" si="17"/>
        <v>-34512.638312539464</v>
      </c>
      <c r="E147" s="70">
        <f t="shared" si="13"/>
        <v>-172.5631915626973</v>
      </c>
      <c r="F147" s="117">
        <f t="shared" si="14"/>
        <v>17385.849132979347</v>
      </c>
      <c r="G147" s="89">
        <f t="shared" si="15"/>
        <v>17213.28594141665</v>
      </c>
    </row>
    <row r="148" spans="2:7" ht="12.75">
      <c r="B148" s="92"/>
      <c r="C148" s="99">
        <f t="shared" si="16"/>
        <v>15</v>
      </c>
      <c r="D148" s="114">
        <f t="shared" si="17"/>
        <v>-51898.487445517996</v>
      </c>
      <c r="E148" s="70">
        <f t="shared" si="13"/>
        <v>-259.49243722758996</v>
      </c>
      <c r="F148" s="117">
        <f t="shared" si="14"/>
        <v>17472.778378644238</v>
      </c>
      <c r="G148" s="89">
        <f t="shared" si="15"/>
        <v>17213.28594141665</v>
      </c>
    </row>
    <row r="149" spans="2:7" ht="12.75">
      <c r="B149" s="92"/>
      <c r="C149" s="99">
        <f t="shared" si="16"/>
        <v>16</v>
      </c>
      <c r="D149" s="114">
        <f t="shared" si="17"/>
        <v>-69371.26582416189</v>
      </c>
      <c r="E149" s="70">
        <f t="shared" si="13"/>
        <v>-346.85632912080945</v>
      </c>
      <c r="F149" s="117">
        <f t="shared" si="14"/>
        <v>17560.142270537457</v>
      </c>
      <c r="G149" s="89">
        <f t="shared" si="15"/>
        <v>17213.28594141665</v>
      </c>
    </row>
    <row r="150" spans="2:7" ht="12.75">
      <c r="B150" s="92"/>
      <c r="C150" s="99">
        <f t="shared" si="16"/>
        <v>17</v>
      </c>
      <c r="D150" s="114">
        <f t="shared" si="17"/>
        <v>-86931.40809469926</v>
      </c>
      <c r="E150" s="70">
        <f t="shared" si="13"/>
        <v>-434.6570404734963</v>
      </c>
      <c r="F150" s="117">
        <f t="shared" si="14"/>
        <v>17647.942981890144</v>
      </c>
      <c r="G150" s="89">
        <f t="shared" si="15"/>
        <v>17213.28594141665</v>
      </c>
    </row>
    <row r="151" spans="2:7" ht="12.75">
      <c r="B151" s="92"/>
      <c r="C151" s="99">
        <f t="shared" si="16"/>
        <v>18</v>
      </c>
      <c r="D151" s="114">
        <f t="shared" si="17"/>
        <v>-104579.3510765882</v>
      </c>
      <c r="E151" s="70">
        <f t="shared" si="13"/>
        <v>-522.896755382941</v>
      </c>
      <c r="F151" s="117">
        <f t="shared" si="14"/>
        <v>17736.18269679959</v>
      </c>
      <c r="G151" s="89">
        <f t="shared" si="15"/>
        <v>17213.28594141665</v>
      </c>
    </row>
    <row r="152" spans="2:7" ht="12.75">
      <c r="B152" s="92"/>
      <c r="C152" s="99">
        <f t="shared" si="16"/>
        <v>19</v>
      </c>
      <c r="D152" s="114">
        <f t="shared" si="17"/>
        <v>-122315.5337733875</v>
      </c>
      <c r="E152" s="70">
        <f t="shared" si="13"/>
        <v>-611.5776688669375</v>
      </c>
      <c r="F152" s="117">
        <f t="shared" si="14"/>
        <v>17824.863610283588</v>
      </c>
      <c r="G152" s="89">
        <f t="shared" si="15"/>
        <v>17213.28594141665</v>
      </c>
    </row>
    <row r="153" spans="2:7" ht="12.75">
      <c r="B153" s="92"/>
      <c r="C153" s="99">
        <f t="shared" si="16"/>
        <v>20</v>
      </c>
      <c r="D153" s="114">
        <f t="shared" si="17"/>
        <v>-140140.3973836707</v>
      </c>
      <c r="E153" s="70">
        <f t="shared" si="13"/>
        <v>-700.7019869183536</v>
      </c>
      <c r="F153" s="117">
        <f t="shared" si="14"/>
        <v>17913.987928335002</v>
      </c>
      <c r="G153" s="89">
        <f t="shared" si="15"/>
        <v>17213.28594141665</v>
      </c>
    </row>
    <row r="154" spans="2:7" ht="12.75">
      <c r="B154" s="92"/>
      <c r="C154" s="99">
        <f t="shared" si="16"/>
        <v>21</v>
      </c>
      <c r="D154" s="114">
        <f t="shared" si="17"/>
        <v>-158054.38531200477</v>
      </c>
      <c r="E154" s="70">
        <f t="shared" si="13"/>
        <v>-790.2719265600239</v>
      </c>
      <c r="F154" s="117">
        <f t="shared" si="14"/>
        <v>18003.557867976673</v>
      </c>
      <c r="G154" s="89">
        <f t="shared" si="15"/>
        <v>17213.28594141665</v>
      </c>
    </row>
    <row r="155" spans="2:7" ht="12.75">
      <c r="B155" s="92"/>
      <c r="C155" s="99">
        <f t="shared" si="16"/>
        <v>22</v>
      </c>
      <c r="D155" s="114">
        <f t="shared" si="17"/>
        <v>-176057.94317998088</v>
      </c>
      <c r="E155" s="70">
        <f t="shared" si="13"/>
        <v>-880.2897158999044</v>
      </c>
      <c r="F155" s="117">
        <f t="shared" si="14"/>
        <v>18093.575657316553</v>
      </c>
      <c r="G155" s="89">
        <f t="shared" si="15"/>
        <v>17213.28594141665</v>
      </c>
    </row>
    <row r="156" spans="2:7" ht="12.75">
      <c r="B156" s="92"/>
      <c r="C156" s="99">
        <f t="shared" si="16"/>
        <v>23</v>
      </c>
      <c r="D156" s="114">
        <f t="shared" si="17"/>
        <v>-194151.51883729667</v>
      </c>
      <c r="E156" s="70">
        <f t="shared" si="13"/>
        <v>-970.7575941864833</v>
      </c>
      <c r="F156" s="117">
        <f t="shared" si="14"/>
        <v>18184.04353560313</v>
      </c>
      <c r="G156" s="89">
        <f t="shared" si="15"/>
        <v>17213.28594141665</v>
      </c>
    </row>
    <row r="157" spans="2:7" ht="12.75">
      <c r="B157" s="92"/>
      <c r="C157" s="99">
        <f t="shared" si="16"/>
        <v>24</v>
      </c>
      <c r="D157" s="114">
        <f t="shared" si="17"/>
        <v>-212335.5623729001</v>
      </c>
      <c r="E157" s="70">
        <f t="shared" si="13"/>
        <v>-1061.6778118645007</v>
      </c>
      <c r="F157" s="117">
        <f t="shared" si="14"/>
        <v>18274.96375328115</v>
      </c>
      <c r="G157" s="89">
        <f t="shared" si="15"/>
        <v>17213.28594141665</v>
      </c>
    </row>
    <row r="158" spans="2:7" ht="12.75">
      <c r="B158" s="92"/>
      <c r="C158" s="99">
        <f t="shared" si="16"/>
        <v>25</v>
      </c>
      <c r="D158" s="114">
        <f t="shared" si="17"/>
        <v>-230610.52612618054</v>
      </c>
      <c r="E158" s="70">
        <f t="shared" si="13"/>
        <v>-1153.0526306309027</v>
      </c>
      <c r="F158" s="117">
        <f t="shared" si="14"/>
        <v>18366.338572047553</v>
      </c>
      <c r="G158" s="89">
        <f t="shared" si="15"/>
        <v>17213.28594141665</v>
      </c>
    </row>
    <row r="159" spans="2:7" ht="12.75">
      <c r="B159" s="92"/>
      <c r="C159" s="99">
        <f t="shared" si="16"/>
        <v>26</v>
      </c>
      <c r="D159" s="114">
        <f t="shared" si="17"/>
        <v>-248976.86469822767</v>
      </c>
      <c r="E159" s="70">
        <f t="shared" si="13"/>
        <v>-1244.8843234911383</v>
      </c>
      <c r="F159" s="117">
        <f t="shared" si="14"/>
        <v>18458.170264907785</v>
      </c>
      <c r="G159" s="89">
        <f t="shared" si="15"/>
        <v>17213.28594141665</v>
      </c>
    </row>
    <row r="160" spans="2:7" ht="12.75">
      <c r="B160" s="92"/>
      <c r="C160" s="99">
        <f t="shared" si="16"/>
        <v>27</v>
      </c>
      <c r="D160" s="114">
        <f t="shared" si="17"/>
        <v>-267435.03496313485</v>
      </c>
      <c r="E160" s="70">
        <f t="shared" si="13"/>
        <v>-1337.1751748156742</v>
      </c>
      <c r="F160" s="117">
        <f t="shared" si="14"/>
        <v>18550.461116232324</v>
      </c>
      <c r="G160" s="89">
        <f t="shared" si="15"/>
        <v>17213.28594141665</v>
      </c>
    </row>
    <row r="161" spans="2:7" ht="12.75">
      <c r="B161" s="92"/>
      <c r="C161" s="99">
        <f t="shared" si="16"/>
        <v>28</v>
      </c>
      <c r="D161" s="114">
        <f t="shared" si="17"/>
        <v>-285985.49607936636</v>
      </c>
      <c r="E161" s="70">
        <f t="shared" si="13"/>
        <v>-1429.927480396832</v>
      </c>
      <c r="F161" s="117">
        <f t="shared" si="14"/>
        <v>18643.21342181348</v>
      </c>
      <c r="G161" s="89">
        <f t="shared" si="15"/>
        <v>17213.28594141665</v>
      </c>
    </row>
    <row r="162" spans="2:7" ht="12.75">
      <c r="B162" s="92"/>
      <c r="C162" s="99">
        <f t="shared" si="16"/>
        <v>29</v>
      </c>
      <c r="D162" s="114">
        <f t="shared" si="17"/>
        <v>-304628.7095011792</v>
      </c>
      <c r="E162" s="70">
        <f t="shared" si="13"/>
        <v>-1523.143547505896</v>
      </c>
      <c r="F162" s="117">
        <f t="shared" si="14"/>
        <v>18736.429488922546</v>
      </c>
      <c r="G162" s="89">
        <f t="shared" si="15"/>
        <v>17213.28594141665</v>
      </c>
    </row>
    <row r="163" spans="2:7" ht="12.75">
      <c r="B163" s="92"/>
      <c r="C163" s="99">
        <f t="shared" si="16"/>
        <v>30</v>
      </c>
      <c r="D163" s="114">
        <f t="shared" si="17"/>
        <v>-323365.13899010135</v>
      </c>
      <c r="E163" s="70">
        <f t="shared" si="13"/>
        <v>-1616.8256949505067</v>
      </c>
      <c r="F163" s="117">
        <f t="shared" si="14"/>
        <v>18830.111636367154</v>
      </c>
      <c r="G163" s="89">
        <f t="shared" si="15"/>
        <v>17213.28594141665</v>
      </c>
    </row>
    <row r="164" spans="2:7" ht="12.75">
      <c r="B164" s="92"/>
      <c r="C164" s="99">
        <f t="shared" si="16"/>
        <v>31</v>
      </c>
      <c r="D164" s="114">
        <f t="shared" si="17"/>
        <v>-342195.2506264674</v>
      </c>
      <c r="E164" s="70">
        <f t="shared" si="13"/>
        <v>-1710.976253132337</v>
      </c>
      <c r="F164" s="117">
        <f t="shared" si="14"/>
        <v>18924.262194548985</v>
      </c>
      <c r="G164" s="89">
        <f t="shared" si="15"/>
        <v>17213.28594141665</v>
      </c>
    </row>
    <row r="165" spans="2:7" ht="12.75">
      <c r="B165" s="92"/>
      <c r="C165" s="99">
        <f t="shared" si="16"/>
        <v>32</v>
      </c>
      <c r="D165" s="114">
        <f t="shared" si="17"/>
        <v>-361119.512821016</v>
      </c>
      <c r="E165" s="70">
        <f t="shared" si="13"/>
        <v>-1805.59756410508</v>
      </c>
      <c r="F165" s="117">
        <f t="shared" si="14"/>
        <v>19018.883505521728</v>
      </c>
      <c r="G165" s="89">
        <f t="shared" si="15"/>
        <v>17213.28594141665</v>
      </c>
    </row>
    <row r="166" spans="2:7" ht="12.75">
      <c r="B166" s="92"/>
      <c r="C166" s="99">
        <f t="shared" si="16"/>
        <v>33</v>
      </c>
      <c r="D166" s="114">
        <f t="shared" si="17"/>
        <v>-380138.39632653707</v>
      </c>
      <c r="E166" s="70">
        <f t="shared" si="13"/>
        <v>-1900.6919816326854</v>
      </c>
      <c r="F166" s="117">
        <f t="shared" si="14"/>
        <v>19113.977923049333</v>
      </c>
      <c r="G166" s="89">
        <f t="shared" si="15"/>
        <v>17213.28594141665</v>
      </c>
    </row>
    <row r="167" spans="2:7" ht="12.75">
      <c r="B167" s="92"/>
      <c r="C167" s="99">
        <f t="shared" si="16"/>
        <v>34</v>
      </c>
      <c r="D167" s="114">
        <f t="shared" si="17"/>
        <v>-399252.37424958596</v>
      </c>
      <c r="E167" s="70">
        <f t="shared" si="13"/>
        <v>-1996.2618712479298</v>
      </c>
      <c r="F167" s="117">
        <f t="shared" si="14"/>
        <v>19209.54781266458</v>
      </c>
      <c r="G167" s="89">
        <f t="shared" si="15"/>
        <v>17213.28594141665</v>
      </c>
    </row>
    <row r="168" spans="2:7" ht="12.75">
      <c r="B168" s="92"/>
      <c r="C168" s="99">
        <f t="shared" si="16"/>
        <v>35</v>
      </c>
      <c r="D168" s="114">
        <f t="shared" si="17"/>
        <v>-418461.9220622504</v>
      </c>
      <c r="E168" s="70">
        <f t="shared" si="13"/>
        <v>-2092.309610311252</v>
      </c>
      <c r="F168" s="117">
        <f t="shared" si="14"/>
        <v>19305.5955517279</v>
      </c>
      <c r="G168" s="89">
        <f t="shared" si="15"/>
        <v>17213.28594141665</v>
      </c>
    </row>
    <row r="169" spans="2:7" ht="12.75">
      <c r="B169" s="92"/>
      <c r="C169" s="99">
        <f t="shared" si="16"/>
        <v>36</v>
      </c>
      <c r="D169" s="114">
        <f t="shared" si="17"/>
        <v>-437767.517613977</v>
      </c>
      <c r="E169" s="70">
        <f t="shared" si="13"/>
        <v>-2188.837588069885</v>
      </c>
      <c r="F169" s="117">
        <f t="shared" si="14"/>
        <v>19402.123529486533</v>
      </c>
      <c r="G169" s="89">
        <f t="shared" si="15"/>
        <v>17213.28594141665</v>
      </c>
    </row>
    <row r="170" spans="2:7" ht="12.75">
      <c r="B170" s="92"/>
      <c r="C170" s="99">
        <f t="shared" si="16"/>
        <v>37</v>
      </c>
      <c r="D170" s="114">
        <f t="shared" si="17"/>
        <v>-457169.64114346256</v>
      </c>
      <c r="E170" s="70">
        <f t="shared" si="13"/>
        <v>-2285.848205717313</v>
      </c>
      <c r="F170" s="117">
        <f t="shared" si="14"/>
        <v>19499.134147133962</v>
      </c>
      <c r="G170" s="89">
        <f t="shared" si="15"/>
        <v>17213.28594141665</v>
      </c>
    </row>
    <row r="171" spans="2:7" ht="12.75">
      <c r="B171" s="92"/>
      <c r="C171" s="99">
        <f t="shared" si="16"/>
        <v>38</v>
      </c>
      <c r="D171" s="114">
        <f t="shared" si="17"/>
        <v>-476668.7752905965</v>
      </c>
      <c r="E171" s="70">
        <f t="shared" si="13"/>
        <v>-2383.3438764529824</v>
      </c>
      <c r="F171" s="117">
        <f t="shared" si="14"/>
        <v>19596.62981786963</v>
      </c>
      <c r="G171" s="89">
        <f t="shared" si="15"/>
        <v>17213.28594141665</v>
      </c>
    </row>
    <row r="172" spans="2:7" ht="12.75">
      <c r="B172" s="92"/>
      <c r="C172" s="99">
        <f t="shared" si="16"/>
        <v>39</v>
      </c>
      <c r="D172" s="114">
        <f t="shared" si="17"/>
        <v>-496265.4051084655</v>
      </c>
      <c r="E172" s="70">
        <f t="shared" si="13"/>
        <v>-2481.3270255423276</v>
      </c>
      <c r="F172" s="117">
        <f t="shared" si="14"/>
        <v>19694.612966958975</v>
      </c>
      <c r="G172" s="89">
        <f t="shared" si="15"/>
        <v>17213.28594141665</v>
      </c>
    </row>
    <row r="173" spans="2:7" ht="12.75">
      <c r="B173" s="92"/>
      <c r="C173" s="99">
        <f t="shared" si="16"/>
        <v>40</v>
      </c>
      <c r="D173" s="114">
        <f t="shared" si="17"/>
        <v>-515960.0180754243</v>
      </c>
      <c r="E173" s="70">
        <f t="shared" si="13"/>
        <v>-2579.8000903771217</v>
      </c>
      <c r="F173" s="117">
        <f t="shared" si="14"/>
        <v>19793.08603179377</v>
      </c>
      <c r="G173" s="89">
        <f t="shared" si="15"/>
        <v>17213.28594141665</v>
      </c>
    </row>
    <row r="174" spans="2:7" ht="12.75">
      <c r="B174" s="92"/>
      <c r="C174" s="99">
        <f t="shared" si="16"/>
        <v>41</v>
      </c>
      <c r="D174" s="114">
        <f t="shared" si="17"/>
        <v>-535753.1041072175</v>
      </c>
      <c r="E174" s="70">
        <f t="shared" si="13"/>
        <v>-2678.7655205360875</v>
      </c>
      <c r="F174" s="117">
        <f t="shared" si="14"/>
        <v>19892.051461952735</v>
      </c>
      <c r="G174" s="89">
        <f t="shared" si="15"/>
        <v>17213.28594141665</v>
      </c>
    </row>
    <row r="175" spans="2:7" ht="12.75">
      <c r="B175" s="92"/>
      <c r="C175" s="99">
        <f t="shared" si="16"/>
        <v>42</v>
      </c>
      <c r="D175" s="114">
        <f t="shared" si="17"/>
        <v>-555645.1555691693</v>
      </c>
      <c r="E175" s="70">
        <f t="shared" si="13"/>
        <v>-2778.2257778458466</v>
      </c>
      <c r="F175" s="117">
        <f t="shared" si="14"/>
        <v>19991.511719262497</v>
      </c>
      <c r="G175" s="89">
        <f t="shared" si="15"/>
        <v>17213.28594141665</v>
      </c>
    </row>
    <row r="176" spans="2:7" ht="12.75">
      <c r="B176" s="92"/>
      <c r="C176" s="99">
        <f t="shared" si="16"/>
        <v>43</v>
      </c>
      <c r="D176" s="114">
        <f t="shared" si="17"/>
        <v>-575636.6672884317</v>
      </c>
      <c r="E176" s="70">
        <f t="shared" si="13"/>
        <v>-2878.183336442158</v>
      </c>
      <c r="F176" s="117">
        <f t="shared" si="14"/>
        <v>20091.469277858807</v>
      </c>
      <c r="G176" s="89">
        <f t="shared" si="15"/>
        <v>17213.28594141665</v>
      </c>
    </row>
    <row r="177" spans="2:7" ht="12.75">
      <c r="B177" s="92"/>
      <c r="C177" s="99">
        <f t="shared" si="16"/>
        <v>44</v>
      </c>
      <c r="D177" s="114">
        <f t="shared" si="17"/>
        <v>-595728.1365662896</v>
      </c>
      <c r="E177" s="70">
        <f t="shared" si="13"/>
        <v>-2978.640682831448</v>
      </c>
      <c r="F177" s="117">
        <f t="shared" si="14"/>
        <v>20191.926624248095</v>
      </c>
      <c r="G177" s="89">
        <f t="shared" si="15"/>
        <v>17213.28594141665</v>
      </c>
    </row>
    <row r="178" spans="2:7" ht="12.75">
      <c r="B178" s="92"/>
      <c r="C178" s="99">
        <f t="shared" si="16"/>
        <v>45</v>
      </c>
      <c r="D178" s="114">
        <f t="shared" si="17"/>
        <v>-615920.0631905367</v>
      </c>
      <c r="E178" s="70">
        <f t="shared" si="13"/>
        <v>-3079.6003159526836</v>
      </c>
      <c r="F178" s="117">
        <f t="shared" si="14"/>
        <v>20292.886257369333</v>
      </c>
      <c r="G178" s="89">
        <f t="shared" si="15"/>
        <v>17213.28594141665</v>
      </c>
    </row>
    <row r="179" spans="2:7" ht="12.75">
      <c r="B179" s="92"/>
      <c r="C179" s="99">
        <f t="shared" si="16"/>
        <v>46</v>
      </c>
      <c r="D179" s="114">
        <f t="shared" si="17"/>
        <v>-636212.9494479058</v>
      </c>
      <c r="E179" s="70">
        <f t="shared" si="13"/>
        <v>-3181.064747239529</v>
      </c>
      <c r="F179" s="117">
        <f t="shared" si="14"/>
        <v>20394.350688656177</v>
      </c>
      <c r="G179" s="89">
        <f t="shared" si="15"/>
        <v>17213.28594141665</v>
      </c>
    </row>
    <row r="180" spans="2:7" ht="12.75">
      <c r="B180" s="92"/>
      <c r="C180" s="99">
        <f t="shared" si="16"/>
        <v>47</v>
      </c>
      <c r="D180" s="114">
        <f t="shared" si="17"/>
        <v>-656607.3001365605</v>
      </c>
      <c r="E180" s="70">
        <f t="shared" si="13"/>
        <v>-3283.0365006828024</v>
      </c>
      <c r="F180" s="117">
        <f t="shared" si="14"/>
        <v>20496.322442099452</v>
      </c>
      <c r="G180" s="89">
        <f t="shared" si="15"/>
        <v>17213.28594141665</v>
      </c>
    </row>
    <row r="181" spans="2:7" ht="13.5" thickBot="1">
      <c r="B181" s="93"/>
      <c r="C181" s="101">
        <f t="shared" si="16"/>
        <v>48</v>
      </c>
      <c r="D181" s="115">
        <f t="shared" si="17"/>
        <v>-677103.6225786597</v>
      </c>
      <c r="E181" s="72">
        <f t="shared" si="13"/>
        <v>-3385.518112893298</v>
      </c>
      <c r="F181" s="118">
        <f t="shared" si="14"/>
        <v>20598.80405430995</v>
      </c>
      <c r="G181" s="81">
        <f t="shared" si="15"/>
        <v>17213.28594141665</v>
      </c>
    </row>
    <row r="182" ht="12.75">
      <c r="E182" s="112"/>
    </row>
    <row r="183" ht="13.5" thickBot="1"/>
    <row r="184" spans="2:4" ht="12.75">
      <c r="B184" s="222" t="s">
        <v>38</v>
      </c>
      <c r="C184" s="223"/>
      <c r="D184" s="102"/>
    </row>
    <row r="185" spans="2:3" ht="12.75">
      <c r="B185" s="220" t="s">
        <v>43</v>
      </c>
      <c r="C185" s="221"/>
    </row>
    <row r="186" spans="2:3" ht="12.75">
      <c r="B186" s="76" t="s">
        <v>39</v>
      </c>
      <c r="C186" s="105">
        <f>C187*(C188+(C190/2)*(C188-1))</f>
        <v>205709.0000411418</v>
      </c>
    </row>
    <row r="187" spans="2:3" ht="12.75">
      <c r="B187" s="76" t="s">
        <v>9</v>
      </c>
      <c r="C187" s="103">
        <v>16666.66667</v>
      </c>
    </row>
    <row r="188" spans="2:3" ht="12.75">
      <c r="B188" s="76" t="s">
        <v>40</v>
      </c>
      <c r="C188" s="103">
        <v>12</v>
      </c>
    </row>
    <row r="189" spans="2:3" ht="12.75">
      <c r="B189" s="76" t="s">
        <v>41</v>
      </c>
      <c r="C189" s="103">
        <v>6.228</v>
      </c>
    </row>
    <row r="190" spans="2:3" ht="13.5" thickBot="1">
      <c r="B190" s="90" t="s">
        <v>42</v>
      </c>
      <c r="C190" s="104">
        <f>C189/100</f>
        <v>0.062279999999999995</v>
      </c>
    </row>
    <row r="191" ht="13.5" thickBot="1"/>
    <row r="192" spans="2:3" ht="12.75">
      <c r="B192" s="222" t="s">
        <v>38</v>
      </c>
      <c r="C192" s="223"/>
    </row>
    <row r="193" spans="2:3" ht="12.75">
      <c r="B193" s="220" t="s">
        <v>44</v>
      </c>
      <c r="C193" s="221"/>
    </row>
    <row r="194" spans="2:3" ht="12.75">
      <c r="B194" s="76" t="s">
        <v>39</v>
      </c>
      <c r="C194" s="105">
        <f>C195*(C196+(C198/2)*(C196+1))</f>
        <v>5279.5740000000005</v>
      </c>
    </row>
    <row r="195" spans="2:3" ht="12.75">
      <c r="B195" s="76" t="s">
        <v>9</v>
      </c>
      <c r="C195" s="103">
        <v>1025.16</v>
      </c>
    </row>
    <row r="196" spans="2:3" ht="12.75">
      <c r="B196" s="76" t="s">
        <v>40</v>
      </c>
      <c r="C196" s="103">
        <v>5</v>
      </c>
    </row>
    <row r="197" spans="2:3" ht="12.75">
      <c r="B197" s="76" t="s">
        <v>41</v>
      </c>
      <c r="C197" s="103">
        <v>5</v>
      </c>
    </row>
    <row r="198" spans="2:3" ht="13.5" thickBot="1">
      <c r="B198" s="90" t="s">
        <v>42</v>
      </c>
      <c r="C198" s="104">
        <f>C197/100</f>
        <v>0.05</v>
      </c>
    </row>
    <row r="200" ht="13.5" thickBot="1"/>
    <row r="201" spans="2:3" ht="12.75">
      <c r="B201" s="106" t="s">
        <v>45</v>
      </c>
      <c r="C201" s="107">
        <f>C202/C203</f>
        <v>0.5</v>
      </c>
    </row>
    <row r="202" spans="2:3" ht="12.75">
      <c r="B202" s="76" t="s">
        <v>46</v>
      </c>
      <c r="C202" s="108">
        <v>1</v>
      </c>
    </row>
    <row r="203" spans="2:3" ht="12.75">
      <c r="B203" s="76" t="s">
        <v>40</v>
      </c>
      <c r="C203" s="108">
        <v>2</v>
      </c>
    </row>
    <row r="204" spans="2:10" ht="13.5" thickBot="1">
      <c r="B204" s="90" t="s">
        <v>47</v>
      </c>
      <c r="C204" s="109">
        <f>C201/100</f>
        <v>0.005</v>
      </c>
      <c r="H204" s="27"/>
      <c r="I204" s="27"/>
      <c r="J204" s="27"/>
    </row>
    <row r="205" spans="6:10" ht="12.75">
      <c r="F205" s="27"/>
      <c r="G205" s="27"/>
      <c r="H205" s="27"/>
      <c r="I205" s="27"/>
      <c r="J205" s="27"/>
    </row>
    <row r="206" spans="6:10" ht="13.5" thickBot="1">
      <c r="F206" s="27"/>
      <c r="G206" s="27"/>
      <c r="H206" s="27"/>
      <c r="I206" s="27"/>
      <c r="J206" s="27"/>
    </row>
    <row r="207" spans="2:10" ht="12.75">
      <c r="B207" s="222" t="s">
        <v>8</v>
      </c>
      <c r="C207" s="223"/>
      <c r="H207" s="27"/>
      <c r="I207" s="27"/>
      <c r="J207" s="27"/>
    </row>
    <row r="208" spans="2:10" ht="12.75">
      <c r="B208" s="76" t="s">
        <v>7</v>
      </c>
      <c r="C208" s="111">
        <f>C209*((((C210/100)+1)^C211)-1)/(C210/100)</f>
        <v>6228.361506022344</v>
      </c>
      <c r="H208" s="27"/>
      <c r="I208" s="27"/>
      <c r="J208" s="27"/>
    </row>
    <row r="209" spans="2:10" ht="12.75">
      <c r="B209" s="76" t="s">
        <v>9</v>
      </c>
      <c r="C209" s="108">
        <v>1025.16</v>
      </c>
      <c r="H209" s="27"/>
      <c r="I209" s="27"/>
      <c r="J209" s="27"/>
    </row>
    <row r="210" spans="2:10" ht="12.75">
      <c r="B210" s="76" t="s">
        <v>41</v>
      </c>
      <c r="C210" s="108">
        <v>0.5</v>
      </c>
      <c r="H210" s="27"/>
      <c r="I210" s="27"/>
      <c r="J210" s="27"/>
    </row>
    <row r="211" spans="2:10" ht="13.5" thickBot="1">
      <c r="B211" s="90" t="s">
        <v>13</v>
      </c>
      <c r="C211" s="110">
        <v>6</v>
      </c>
      <c r="H211" s="27"/>
      <c r="I211" s="27"/>
      <c r="J211" s="27"/>
    </row>
    <row r="212" spans="8:10" ht="12.75">
      <c r="H212" s="27"/>
      <c r="I212" s="27"/>
      <c r="J212" s="27"/>
    </row>
    <row r="213" spans="2:10" ht="12.75">
      <c r="B213" t="s">
        <v>14</v>
      </c>
      <c r="H213" s="27"/>
      <c r="I213" s="27"/>
      <c r="J213" s="27"/>
    </row>
    <row r="214" spans="8:10" ht="12.75">
      <c r="H214" s="27"/>
      <c r="I214" s="27"/>
      <c r="J214" s="27"/>
    </row>
    <row r="215" spans="8:10" ht="12.75">
      <c r="H215" s="27"/>
      <c r="I215" s="27"/>
      <c r="J215" s="27"/>
    </row>
    <row r="216" spans="8:10" ht="12.75">
      <c r="H216" s="27"/>
      <c r="I216" s="27"/>
      <c r="J216" s="27"/>
    </row>
    <row r="217" spans="8:10" ht="12.75">
      <c r="H217" s="27"/>
      <c r="I217" s="27"/>
      <c r="J217" s="27"/>
    </row>
    <row r="218" spans="8:10" ht="12.75">
      <c r="H218" s="27"/>
      <c r="I218" s="27"/>
      <c r="J218" s="27"/>
    </row>
    <row r="219" spans="8:10" ht="12.75">
      <c r="H219" s="27"/>
      <c r="I219" s="27"/>
      <c r="J219" s="27"/>
    </row>
    <row r="220" spans="8:10" ht="12.75">
      <c r="H220" s="27"/>
      <c r="I220" s="27"/>
      <c r="J220" s="27"/>
    </row>
    <row r="221" spans="8:10" ht="12.75">
      <c r="H221" s="27"/>
      <c r="I221" s="27"/>
      <c r="J221" s="27"/>
    </row>
    <row r="222" spans="8:10" ht="12.75">
      <c r="H222" s="27"/>
      <c r="I222" s="27"/>
      <c r="J222" s="27"/>
    </row>
    <row r="223" spans="8:10" ht="12.75">
      <c r="H223" s="27"/>
      <c r="I223" s="27"/>
      <c r="J223" s="27"/>
    </row>
  </sheetData>
  <mergeCells count="11">
    <mergeCell ref="B77:G77"/>
    <mergeCell ref="B131:G131"/>
    <mergeCell ref="B2:G2"/>
    <mergeCell ref="B45:D45"/>
    <mergeCell ref="B12:I12"/>
    <mergeCell ref="B27:K27"/>
    <mergeCell ref="B193:C193"/>
    <mergeCell ref="B207:C207"/>
    <mergeCell ref="B184:C184"/>
    <mergeCell ref="B185:C185"/>
    <mergeCell ref="B192:C192"/>
  </mergeCells>
  <printOptions/>
  <pageMargins left="0.75" right="0.75" top="1" bottom="1" header="0.4921259845" footer="0.4921259845"/>
  <pageSetup orientation="portrait" paperSize="9" r:id="rId1"/>
  <ignoredErrors>
    <ignoredError sqref="I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4:G30"/>
  <sheetViews>
    <sheetView zoomScale="130" zoomScaleNormal="130" workbookViewId="0" topLeftCell="A1">
      <selection activeCell="D5" sqref="D5:D25"/>
    </sheetView>
  </sheetViews>
  <sheetFormatPr defaultColWidth="11.421875" defaultRowHeight="12.75"/>
  <cols>
    <col min="3" max="4" width="8.00390625" style="27" customWidth="1"/>
    <col min="5" max="11" width="5.7109375" style="27" customWidth="1"/>
    <col min="12" max="23" width="5.7109375" style="0" customWidth="1"/>
  </cols>
  <sheetData>
    <row r="4" spans="3:4" ht="12.75">
      <c r="C4" s="2" t="s">
        <v>48</v>
      </c>
      <c r="D4" s="2" t="s">
        <v>49</v>
      </c>
    </row>
    <row r="5" spans="3:7" ht="12.75">
      <c r="C5" s="2">
        <v>-10</v>
      </c>
      <c r="D5" s="2"/>
      <c r="F5" s="119"/>
      <c r="G5" s="119"/>
    </row>
    <row r="6" spans="3:7" ht="12.75">
      <c r="C6" s="2">
        <v>-9</v>
      </c>
      <c r="D6" s="2"/>
      <c r="F6" s="119"/>
      <c r="G6" s="119"/>
    </row>
    <row r="7" spans="3:7" ht="12.75">
      <c r="C7" s="2">
        <v>-8</v>
      </c>
      <c r="D7" s="2"/>
      <c r="F7" s="119"/>
      <c r="G7" s="119"/>
    </row>
    <row r="8" spans="3:7" ht="12.75">
      <c r="C8" s="2">
        <v>-7</v>
      </c>
      <c r="D8" s="2"/>
      <c r="F8" s="119"/>
      <c r="G8" s="119"/>
    </row>
    <row r="9" spans="3:4" ht="12.75">
      <c r="C9" s="2">
        <v>-6</v>
      </c>
      <c r="D9" s="2"/>
    </row>
    <row r="10" spans="3:4" ht="12.75">
      <c r="C10" s="2">
        <v>-5</v>
      </c>
      <c r="D10" s="2"/>
    </row>
    <row r="11" spans="3:4" ht="12.75">
      <c r="C11" s="2">
        <v>-4</v>
      </c>
      <c r="D11" s="2"/>
    </row>
    <row r="12" spans="3:4" ht="12.75">
      <c r="C12" s="2">
        <v>-3</v>
      </c>
      <c r="D12" s="2"/>
    </row>
    <row r="13" spans="3:4" ht="12.75">
      <c r="C13" s="2">
        <v>-2</v>
      </c>
      <c r="D13" s="2"/>
    </row>
    <row r="14" spans="3:4" ht="12.75">
      <c r="C14" s="2">
        <v>-1</v>
      </c>
      <c r="D14" s="2"/>
    </row>
    <row r="15" spans="3:4" ht="12.75">
      <c r="C15" s="2">
        <v>0</v>
      </c>
      <c r="D15" s="2"/>
    </row>
    <row r="16" spans="3:4" ht="12.75">
      <c r="C16" s="2">
        <v>1</v>
      </c>
      <c r="D16" s="2"/>
    </row>
    <row r="17" spans="3:4" ht="12.75">
      <c r="C17" s="2">
        <v>2</v>
      </c>
      <c r="D17" s="2"/>
    </row>
    <row r="18" spans="3:4" ht="12.75">
      <c r="C18" s="2">
        <v>3</v>
      </c>
      <c r="D18" s="2"/>
    </row>
    <row r="19" spans="3:4" ht="12.75">
      <c r="C19" s="2">
        <v>4</v>
      </c>
      <c r="D19" s="2"/>
    </row>
    <row r="20" spans="3:4" ht="12.75">
      <c r="C20" s="2">
        <v>5</v>
      </c>
      <c r="D20" s="2"/>
    </row>
    <row r="21" spans="3:4" ht="12.75">
      <c r="C21" s="2">
        <v>6</v>
      </c>
      <c r="D21" s="2"/>
    </row>
    <row r="22" spans="3:4" ht="12.75">
      <c r="C22" s="2">
        <v>7</v>
      </c>
      <c r="D22" s="2"/>
    </row>
    <row r="23" spans="3:4" ht="12.75">
      <c r="C23" s="2">
        <v>8</v>
      </c>
      <c r="D23" s="2"/>
    </row>
    <row r="24" spans="3:4" ht="12.75">
      <c r="C24" s="2">
        <v>9</v>
      </c>
      <c r="D24" s="2"/>
    </row>
    <row r="25" spans="3:4" ht="12.75">
      <c r="C25" s="2">
        <v>10</v>
      </c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37"/>
  <sheetViews>
    <sheetView workbookViewId="0" topLeftCell="A1">
      <selection activeCell="K7" sqref="K7"/>
    </sheetView>
  </sheetViews>
  <sheetFormatPr defaultColWidth="11.421875" defaultRowHeight="12.75"/>
  <cols>
    <col min="1" max="1" width="12.8515625" style="0" customWidth="1"/>
    <col min="3" max="3" width="8.8515625" style="0" customWidth="1"/>
    <col min="4" max="4" width="20.140625" style="0" bestFit="1" customWidth="1"/>
    <col min="5" max="5" width="12.57421875" style="0" bestFit="1" customWidth="1"/>
    <col min="10" max="10" width="8.8515625" style="0" customWidth="1"/>
    <col min="11" max="11" width="22.8515625" style="0" bestFit="1" customWidth="1"/>
    <col min="12" max="12" width="12.7109375" style="0" bestFit="1" customWidth="1"/>
    <col min="13" max="13" width="12.140625" style="0" bestFit="1" customWidth="1"/>
  </cols>
  <sheetData>
    <row r="2" ht="13.5" thickBot="1"/>
    <row r="3" spans="2:13" ht="13.5" thickBot="1">
      <c r="B3" s="237" t="s">
        <v>50</v>
      </c>
      <c r="C3" s="238"/>
      <c r="D3" s="238"/>
      <c r="E3" s="238"/>
      <c r="F3" s="238"/>
      <c r="G3" s="239"/>
      <c r="I3" s="237" t="s">
        <v>51</v>
      </c>
      <c r="J3" s="238"/>
      <c r="K3" s="238"/>
      <c r="L3" s="238"/>
      <c r="M3" s="239"/>
    </row>
    <row r="4" spans="2:13" ht="13.5" thickBot="1">
      <c r="B4" s="234" t="s">
        <v>37</v>
      </c>
      <c r="C4" s="235"/>
      <c r="D4" s="235"/>
      <c r="E4" s="235"/>
      <c r="F4" s="235"/>
      <c r="G4" s="236"/>
      <c r="I4" s="234" t="s">
        <v>37</v>
      </c>
      <c r="J4" s="235"/>
      <c r="K4" s="235"/>
      <c r="L4" s="235"/>
      <c r="M4" s="236"/>
    </row>
    <row r="5" spans="2:13" ht="13.5" thickBot="1">
      <c r="B5" s="97"/>
      <c r="C5" s="19" t="s">
        <v>21</v>
      </c>
      <c r="D5" s="19" t="s">
        <v>32</v>
      </c>
      <c r="E5" s="19" t="s">
        <v>34</v>
      </c>
      <c r="F5" s="19" t="s">
        <v>35</v>
      </c>
      <c r="G5" s="78" t="s">
        <v>36</v>
      </c>
      <c r="I5" s="97"/>
      <c r="J5" s="19" t="s">
        <v>21</v>
      </c>
      <c r="K5" s="19" t="s">
        <v>52</v>
      </c>
      <c r="L5" s="19" t="s">
        <v>34</v>
      </c>
      <c r="M5" s="78" t="s">
        <v>36</v>
      </c>
    </row>
    <row r="6" spans="2:13" ht="13.5" thickBot="1">
      <c r="B6" s="95" t="s">
        <v>22</v>
      </c>
      <c r="C6" s="77"/>
      <c r="D6" s="67" t="s">
        <v>33</v>
      </c>
      <c r="E6" s="19"/>
      <c r="F6" s="19"/>
      <c r="G6" s="78"/>
      <c r="I6" s="95" t="s">
        <v>22</v>
      </c>
      <c r="J6" s="77"/>
      <c r="K6" s="67"/>
      <c r="L6" s="19"/>
      <c r="M6" s="78"/>
    </row>
    <row r="7" spans="2:13" ht="13.5" thickBot="1">
      <c r="B7" s="96">
        <v>1.25</v>
      </c>
      <c r="C7" s="120">
        <v>0</v>
      </c>
      <c r="D7" s="121">
        <v>200000</v>
      </c>
      <c r="E7" s="124">
        <f>IF(D7="","",D7*$B$7/100)</f>
        <v>2500</v>
      </c>
      <c r="F7" s="125">
        <f>IF(C7&lt;$B$10,G7-E7,"")</f>
        <v>1000.8025475147274</v>
      </c>
      <c r="G7" s="126">
        <f>IF(C7&lt;$B$10,D$7*((((B$7/100)+1)^B$10)*(B$7/100))/((((B$7/100)+1)^B$10)-1),"")</f>
        <v>3500.8025475147274</v>
      </c>
      <c r="I7" s="96">
        <v>1.73515</v>
      </c>
      <c r="J7" s="132">
        <f>C7</f>
        <v>0</v>
      </c>
      <c r="K7" s="133">
        <f>D7</f>
        <v>200000</v>
      </c>
      <c r="L7" s="127"/>
      <c r="M7" s="126"/>
    </row>
    <row r="8" spans="2:13" ht="13.5" thickBot="1">
      <c r="B8" s="73"/>
      <c r="C8" s="130">
        <f>C7+1</f>
        <v>1</v>
      </c>
      <c r="D8" s="122">
        <f>IF(C8&lt;=$B$10,$D$7*(((($B$7/100)+1)^$B$10)-((($B$7/100)+1)^C8))/(((($B$7/100)+1)^$B$10)-1),"")</f>
        <v>198999.19745248527</v>
      </c>
      <c r="E8" s="124">
        <f aca="true" t="shared" si="0" ref="E8:E36">IF(D8="","",D8*$B$7/100)</f>
        <v>2487.489968156066</v>
      </c>
      <c r="F8" s="125">
        <f aca="true" t="shared" si="1" ref="F8:F36">IF(C8&lt;$B$10,G8-E8,"")</f>
        <v>1013.3125793586614</v>
      </c>
      <c r="G8" s="126">
        <f aca="true" t="shared" si="2" ref="G8:G36">IF(C8&lt;$B$10,D$7*((((B$7/100)+1)^B$10)*(B$7/100))/((((B$7/100)+1)^B$10)-1),"")</f>
        <v>3500.8025475147274</v>
      </c>
      <c r="I8" s="73"/>
      <c r="J8" s="130">
        <f>J7+1</f>
        <v>1</v>
      </c>
      <c r="K8" s="122">
        <f aca="true" t="shared" si="3" ref="K8:K36">IF(J8&lt;$I$10,K7-M8,"")</f>
        <v>196499.19745248527</v>
      </c>
      <c r="L8" s="127">
        <f>IF(J8&lt;=$I$10,K7*$I$7,"")</f>
        <v>347030</v>
      </c>
      <c r="M8" s="126">
        <f>IF(J8&lt;=$I$10,G7,"")</f>
        <v>3500.8025475147274</v>
      </c>
    </row>
    <row r="9" spans="2:13" ht="12.75">
      <c r="B9" s="95" t="s">
        <v>1</v>
      </c>
      <c r="C9" s="130">
        <f aca="true" t="shared" si="4" ref="C9:C36">C8+1</f>
        <v>2</v>
      </c>
      <c r="D9" s="122">
        <f aca="true" t="shared" si="5" ref="D9:D36">IF(C9&lt;=$B$10,$D$7*(((($B$7/100)+1)^$B$10)-((($B$7/100)+1)^C9))/(((($B$7/100)+1)^$B$10)-1),"")</f>
        <v>197985.88487312663</v>
      </c>
      <c r="E9" s="124">
        <f t="shared" si="0"/>
        <v>2474.823560914083</v>
      </c>
      <c r="F9" s="125">
        <f t="shared" si="1"/>
        <v>1025.9789866006445</v>
      </c>
      <c r="G9" s="126">
        <f t="shared" si="2"/>
        <v>3500.8025475147274</v>
      </c>
      <c r="I9" s="95" t="s">
        <v>1</v>
      </c>
      <c r="J9" s="130">
        <f aca="true" t="shared" si="6" ref="J9:J36">J8+1</f>
        <v>2</v>
      </c>
      <c r="K9" s="122">
        <f t="shared" si="3"/>
        <v>192998.39490497054</v>
      </c>
      <c r="L9" s="127">
        <f aca="true" t="shared" si="7" ref="L9:L36">IF(J9&lt;=$I$10,K8*$I$7,"")</f>
        <v>340955.5824596798</v>
      </c>
      <c r="M9" s="126">
        <f aca="true" t="shared" si="8" ref="M9:M36">IF(J9&lt;=$I$10,G8,"")</f>
        <v>3500.8025475147274</v>
      </c>
    </row>
    <row r="10" spans="2:13" ht="13.5" thickBot="1">
      <c r="B10" s="96">
        <v>100.8</v>
      </c>
      <c r="C10" s="130">
        <f t="shared" si="4"/>
        <v>3</v>
      </c>
      <c r="D10" s="122">
        <f t="shared" si="5"/>
        <v>196959.90588652596</v>
      </c>
      <c r="E10" s="124">
        <f t="shared" si="0"/>
        <v>2461.9988235815745</v>
      </c>
      <c r="F10" s="125">
        <f t="shared" si="1"/>
        <v>1038.803723933153</v>
      </c>
      <c r="G10" s="126">
        <f t="shared" si="2"/>
        <v>3500.8025475147274</v>
      </c>
      <c r="I10" s="134">
        <f>B10</f>
        <v>100.8</v>
      </c>
      <c r="J10" s="130">
        <f t="shared" si="6"/>
        <v>3</v>
      </c>
      <c r="K10" s="122">
        <f t="shared" si="3"/>
        <v>189497.5923574558</v>
      </c>
      <c r="L10" s="127">
        <f t="shared" si="7"/>
        <v>334881.1649193596</v>
      </c>
      <c r="M10" s="126">
        <f t="shared" si="8"/>
        <v>3500.8025475147274</v>
      </c>
    </row>
    <row r="11" spans="2:13" ht="12.75">
      <c r="B11" s="137"/>
      <c r="C11" s="130">
        <f t="shared" si="4"/>
        <v>4</v>
      </c>
      <c r="D11" s="122">
        <f t="shared" si="5"/>
        <v>195921.1021625928</v>
      </c>
      <c r="E11" s="124">
        <f t="shared" si="0"/>
        <v>2449.01377703241</v>
      </c>
      <c r="F11" s="125">
        <f t="shared" si="1"/>
        <v>1051.7887704823174</v>
      </c>
      <c r="G11" s="126">
        <f t="shared" si="2"/>
        <v>3500.8025475147274</v>
      </c>
      <c r="I11" s="137"/>
      <c r="J11" s="130">
        <f t="shared" si="6"/>
        <v>4</v>
      </c>
      <c r="K11" s="122">
        <f t="shared" si="3"/>
        <v>185996.78980994108</v>
      </c>
      <c r="L11" s="127">
        <f t="shared" si="7"/>
        <v>328806.7473790395</v>
      </c>
      <c r="M11" s="126">
        <f t="shared" si="8"/>
        <v>3500.8025475147274</v>
      </c>
    </row>
    <row r="12" spans="2:13" ht="12.75">
      <c r="B12" s="73"/>
      <c r="C12" s="130">
        <f t="shared" si="4"/>
        <v>5</v>
      </c>
      <c r="D12" s="122">
        <f t="shared" si="5"/>
        <v>194869.31339211052</v>
      </c>
      <c r="E12" s="124">
        <f t="shared" si="0"/>
        <v>2435.8664174013816</v>
      </c>
      <c r="F12" s="125">
        <f t="shared" si="1"/>
        <v>1064.9361301133458</v>
      </c>
      <c r="G12" s="126">
        <f t="shared" si="2"/>
        <v>3500.8025475147274</v>
      </c>
      <c r="I12" s="73"/>
      <c r="J12" s="130">
        <f t="shared" si="6"/>
        <v>5</v>
      </c>
      <c r="K12" s="122">
        <f t="shared" si="3"/>
        <v>182495.98726242635</v>
      </c>
      <c r="L12" s="127">
        <f t="shared" si="7"/>
        <v>322732.3298387193</v>
      </c>
      <c r="M12" s="126">
        <f t="shared" si="8"/>
        <v>3500.8025475147274</v>
      </c>
    </row>
    <row r="13" spans="2:13" ht="12.75">
      <c r="B13" s="73"/>
      <c r="C13" s="130">
        <f t="shared" si="4"/>
        <v>6</v>
      </c>
      <c r="D13" s="122">
        <f t="shared" si="5"/>
        <v>193804.3772619972</v>
      </c>
      <c r="E13" s="124">
        <f t="shared" si="0"/>
        <v>2422.554715774965</v>
      </c>
      <c r="F13" s="125">
        <f t="shared" si="1"/>
        <v>1078.2478317397622</v>
      </c>
      <c r="G13" s="126">
        <f t="shared" si="2"/>
        <v>3500.8025475147274</v>
      </c>
      <c r="I13" s="73"/>
      <c r="J13" s="130">
        <f t="shared" si="6"/>
        <v>6</v>
      </c>
      <c r="K13" s="122">
        <f t="shared" si="3"/>
        <v>178995.18471491162</v>
      </c>
      <c r="L13" s="127">
        <f t="shared" si="7"/>
        <v>316657.9122983991</v>
      </c>
      <c r="M13" s="126">
        <f t="shared" si="8"/>
        <v>3500.8025475147274</v>
      </c>
    </row>
    <row r="14" spans="2:13" ht="12.75">
      <c r="B14" s="73"/>
      <c r="C14" s="130">
        <f t="shared" si="4"/>
        <v>7</v>
      </c>
      <c r="D14" s="122">
        <f t="shared" si="5"/>
        <v>192726.12943025742</v>
      </c>
      <c r="E14" s="124">
        <f t="shared" si="0"/>
        <v>2409.076617878218</v>
      </c>
      <c r="F14" s="125">
        <f t="shared" si="1"/>
        <v>1091.7259296365096</v>
      </c>
      <c r="G14" s="126">
        <f t="shared" si="2"/>
        <v>3500.8025475147274</v>
      </c>
      <c r="I14" s="73"/>
      <c r="J14" s="130">
        <f t="shared" si="6"/>
        <v>7</v>
      </c>
      <c r="K14" s="122">
        <f t="shared" si="3"/>
        <v>175494.3821673969</v>
      </c>
      <c r="L14" s="127">
        <f t="shared" si="7"/>
        <v>310583.4947580789</v>
      </c>
      <c r="M14" s="126">
        <f t="shared" si="8"/>
        <v>3500.8025475147274</v>
      </c>
    </row>
    <row r="15" spans="2:13" ht="12.75">
      <c r="B15" s="73"/>
      <c r="C15" s="130">
        <f t="shared" si="4"/>
        <v>8</v>
      </c>
      <c r="D15" s="122">
        <f t="shared" si="5"/>
        <v>191634.4035006209</v>
      </c>
      <c r="E15" s="124">
        <f t="shared" si="0"/>
        <v>2395.430043757761</v>
      </c>
      <c r="F15" s="125">
        <f t="shared" si="1"/>
        <v>1105.3725037569666</v>
      </c>
      <c r="G15" s="126">
        <f t="shared" si="2"/>
        <v>3500.8025475147274</v>
      </c>
      <c r="I15" s="73"/>
      <c r="J15" s="130">
        <f t="shared" si="6"/>
        <v>8</v>
      </c>
      <c r="K15" s="122">
        <f t="shared" si="3"/>
        <v>171993.57961988216</v>
      </c>
      <c r="L15" s="127">
        <f t="shared" si="7"/>
        <v>304509.0772177587</v>
      </c>
      <c r="M15" s="126">
        <f t="shared" si="8"/>
        <v>3500.8025475147274</v>
      </c>
    </row>
    <row r="16" spans="2:13" ht="12.75">
      <c r="B16" s="73"/>
      <c r="C16" s="130">
        <f t="shared" si="4"/>
        <v>9</v>
      </c>
      <c r="D16" s="122">
        <f t="shared" si="5"/>
        <v>190529.03099686393</v>
      </c>
      <c r="E16" s="124">
        <f t="shared" si="0"/>
        <v>2381.6128874607994</v>
      </c>
      <c r="F16" s="125">
        <f t="shared" si="1"/>
        <v>1119.189660053928</v>
      </c>
      <c r="G16" s="126">
        <f t="shared" si="2"/>
        <v>3500.8025475147274</v>
      </c>
      <c r="I16" s="73"/>
      <c r="J16" s="130">
        <f t="shared" si="6"/>
        <v>9</v>
      </c>
      <c r="K16" s="122">
        <f t="shared" si="3"/>
        <v>168492.77707236743</v>
      </c>
      <c r="L16" s="127">
        <f t="shared" si="7"/>
        <v>298434.65967743855</v>
      </c>
      <c r="M16" s="126">
        <f t="shared" si="8"/>
        <v>3500.8025475147274</v>
      </c>
    </row>
    <row r="17" spans="2:13" ht="12.75">
      <c r="B17" s="73"/>
      <c r="C17" s="130">
        <f t="shared" si="4"/>
        <v>10</v>
      </c>
      <c r="D17" s="122">
        <f t="shared" si="5"/>
        <v>189409.84133681</v>
      </c>
      <c r="E17" s="124">
        <f t="shared" si="0"/>
        <v>2367.6230167101253</v>
      </c>
      <c r="F17" s="125">
        <f t="shared" si="1"/>
        <v>1133.179530804602</v>
      </c>
      <c r="G17" s="126">
        <f t="shared" si="2"/>
        <v>3500.8025475147274</v>
      </c>
      <c r="I17" s="73"/>
      <c r="J17" s="130">
        <f t="shared" si="6"/>
        <v>10</v>
      </c>
      <c r="K17" s="122">
        <f t="shared" si="3"/>
        <v>164991.9745248527</v>
      </c>
      <c r="L17" s="127">
        <f t="shared" si="7"/>
        <v>292360.24213711836</v>
      </c>
      <c r="M17" s="126">
        <f t="shared" si="8"/>
        <v>3500.8025475147274</v>
      </c>
    </row>
    <row r="18" spans="2:13" ht="12.75">
      <c r="B18" s="73"/>
      <c r="C18" s="130">
        <f t="shared" si="4"/>
        <v>11</v>
      </c>
      <c r="D18" s="122">
        <f t="shared" si="5"/>
        <v>188276.6618060054</v>
      </c>
      <c r="E18" s="124">
        <f t="shared" si="0"/>
        <v>2353.4582725750674</v>
      </c>
      <c r="F18" s="125">
        <f t="shared" si="1"/>
        <v>1147.34427493966</v>
      </c>
      <c r="G18" s="126">
        <f t="shared" si="2"/>
        <v>3500.8025475147274</v>
      </c>
      <c r="I18" s="73"/>
      <c r="J18" s="130">
        <f t="shared" si="6"/>
        <v>11</v>
      </c>
      <c r="K18" s="122">
        <f t="shared" si="3"/>
        <v>161491.17197733797</v>
      </c>
      <c r="L18" s="127">
        <f t="shared" si="7"/>
        <v>286285.82459679816</v>
      </c>
      <c r="M18" s="126">
        <f t="shared" si="8"/>
        <v>3500.8025475147274</v>
      </c>
    </row>
    <row r="19" spans="2:13" ht="12.75">
      <c r="B19" s="73"/>
      <c r="C19" s="130">
        <f t="shared" si="4"/>
        <v>12</v>
      </c>
      <c r="D19" s="122">
        <f t="shared" si="5"/>
        <v>187129.31753106575</v>
      </c>
      <c r="E19" s="124">
        <f t="shared" si="0"/>
        <v>2339.116469138322</v>
      </c>
      <c r="F19" s="125">
        <f t="shared" si="1"/>
        <v>1161.6860783764055</v>
      </c>
      <c r="G19" s="126">
        <f t="shared" si="2"/>
        <v>3500.8025475147274</v>
      </c>
      <c r="I19" s="73"/>
      <c r="J19" s="130">
        <f t="shared" si="6"/>
        <v>12</v>
      </c>
      <c r="K19" s="122">
        <f t="shared" si="3"/>
        <v>157990.36942982324</v>
      </c>
      <c r="L19" s="127">
        <f t="shared" si="7"/>
        <v>280211.40705647797</v>
      </c>
      <c r="M19" s="126">
        <f t="shared" si="8"/>
        <v>3500.8025475147274</v>
      </c>
    </row>
    <row r="20" spans="2:13" ht="12.75">
      <c r="B20" s="73"/>
      <c r="C20" s="130">
        <f t="shared" si="4"/>
        <v>13</v>
      </c>
      <c r="D20" s="122">
        <f t="shared" si="5"/>
        <v>185967.63145268933</v>
      </c>
      <c r="E20" s="124">
        <f t="shared" si="0"/>
        <v>2324.5953931586164</v>
      </c>
      <c r="F20" s="125">
        <f t="shared" si="1"/>
        <v>1176.207154356111</v>
      </c>
      <c r="G20" s="126">
        <f t="shared" si="2"/>
        <v>3500.8025475147274</v>
      </c>
      <c r="I20" s="73"/>
      <c r="J20" s="130">
        <f t="shared" si="6"/>
        <v>13</v>
      </c>
      <c r="K20" s="122">
        <f t="shared" si="3"/>
        <v>154489.5668823085</v>
      </c>
      <c r="L20" s="127">
        <f t="shared" si="7"/>
        <v>274136.9895161578</v>
      </c>
      <c r="M20" s="126">
        <f t="shared" si="8"/>
        <v>3500.8025475147274</v>
      </c>
    </row>
    <row r="21" spans="2:13" ht="12.75">
      <c r="B21" s="73"/>
      <c r="C21" s="130">
        <f t="shared" si="4"/>
        <v>14</v>
      </c>
      <c r="D21" s="122">
        <f t="shared" si="5"/>
        <v>184791.42429833324</v>
      </c>
      <c r="E21" s="124">
        <f t="shared" si="0"/>
        <v>2309.8928037291653</v>
      </c>
      <c r="F21" s="125">
        <f t="shared" si="1"/>
        <v>1190.9097437855621</v>
      </c>
      <c r="G21" s="126">
        <f t="shared" si="2"/>
        <v>3500.8025475147274</v>
      </c>
      <c r="I21" s="73"/>
      <c r="J21" s="130">
        <f t="shared" si="6"/>
        <v>14</v>
      </c>
      <c r="K21" s="122">
        <f t="shared" si="3"/>
        <v>150988.76433479378</v>
      </c>
      <c r="L21" s="127">
        <f t="shared" si="7"/>
        <v>268062.57197583764</v>
      </c>
      <c r="M21" s="126">
        <f t="shared" si="8"/>
        <v>3500.8025475147274</v>
      </c>
    </row>
    <row r="22" spans="2:13" ht="12.75">
      <c r="B22" s="73"/>
      <c r="C22" s="130">
        <f t="shared" si="4"/>
        <v>15</v>
      </c>
      <c r="D22" s="122">
        <f t="shared" si="5"/>
        <v>183600.5145545477</v>
      </c>
      <c r="E22" s="124">
        <f t="shared" si="0"/>
        <v>2295.0064319318462</v>
      </c>
      <c r="F22" s="125">
        <f t="shared" si="1"/>
        <v>1205.7961155828812</v>
      </c>
      <c r="G22" s="126">
        <f t="shared" si="2"/>
        <v>3500.8025475147274</v>
      </c>
      <c r="I22" s="73"/>
      <c r="J22" s="130">
        <f t="shared" si="6"/>
        <v>15</v>
      </c>
      <c r="K22" s="122">
        <f t="shared" si="3"/>
        <v>147487.96178727905</v>
      </c>
      <c r="L22" s="127">
        <f t="shared" si="7"/>
        <v>261988.15443551744</v>
      </c>
      <c r="M22" s="126">
        <f t="shared" si="8"/>
        <v>3500.8025475147274</v>
      </c>
    </row>
    <row r="23" spans="2:13" ht="12.75">
      <c r="B23" s="73"/>
      <c r="C23" s="130">
        <f t="shared" si="4"/>
        <v>16</v>
      </c>
      <c r="D23" s="122">
        <f t="shared" si="5"/>
        <v>182394.7184389648</v>
      </c>
      <c r="E23" s="124">
        <f t="shared" si="0"/>
        <v>2279.93398048706</v>
      </c>
      <c r="F23" s="125">
        <f t="shared" si="1"/>
        <v>1220.8685670276673</v>
      </c>
      <c r="G23" s="126">
        <f t="shared" si="2"/>
        <v>3500.8025475147274</v>
      </c>
      <c r="I23" s="73"/>
      <c r="J23" s="130">
        <f t="shared" si="6"/>
        <v>16</v>
      </c>
      <c r="K23" s="122">
        <f t="shared" si="3"/>
        <v>143987.15923976433</v>
      </c>
      <c r="L23" s="127">
        <f t="shared" si="7"/>
        <v>255913.73689519725</v>
      </c>
      <c r="M23" s="126">
        <f t="shared" si="8"/>
        <v>3500.8025475147274</v>
      </c>
    </row>
    <row r="24" spans="2:13" ht="12.75">
      <c r="B24" s="73"/>
      <c r="C24" s="130">
        <f t="shared" si="4"/>
        <v>17</v>
      </c>
      <c r="D24" s="122">
        <f t="shared" si="5"/>
        <v>181173.8498719371</v>
      </c>
      <c r="E24" s="124">
        <f t="shared" si="0"/>
        <v>2264.6731233992136</v>
      </c>
      <c r="F24" s="125">
        <f t="shared" si="1"/>
        <v>1236.1294241155138</v>
      </c>
      <c r="G24" s="126">
        <f t="shared" si="2"/>
        <v>3500.8025475147274</v>
      </c>
      <c r="I24" s="73"/>
      <c r="J24" s="130">
        <f t="shared" si="6"/>
        <v>17</v>
      </c>
      <c r="K24" s="122">
        <f t="shared" si="3"/>
        <v>140486.3566922496</v>
      </c>
      <c r="L24" s="127">
        <f t="shared" si="7"/>
        <v>249839.31935487705</v>
      </c>
      <c r="M24" s="126">
        <f t="shared" si="8"/>
        <v>3500.8025475147274</v>
      </c>
    </row>
    <row r="25" spans="2:13" ht="12.75">
      <c r="B25" s="73"/>
      <c r="C25" s="130">
        <f t="shared" si="4"/>
        <v>18</v>
      </c>
      <c r="D25" s="122">
        <f t="shared" si="5"/>
        <v>179937.72044782157</v>
      </c>
      <c r="E25" s="124">
        <f t="shared" si="0"/>
        <v>2249.2215055977695</v>
      </c>
      <c r="F25" s="125">
        <f t="shared" si="1"/>
        <v>1251.581041916958</v>
      </c>
      <c r="G25" s="126">
        <f t="shared" si="2"/>
        <v>3500.8025475147274</v>
      </c>
      <c r="I25" s="73"/>
      <c r="J25" s="130">
        <f t="shared" si="6"/>
        <v>18</v>
      </c>
      <c r="K25" s="122">
        <f t="shared" si="3"/>
        <v>136985.55414473487</v>
      </c>
      <c r="L25" s="127">
        <f t="shared" si="7"/>
        <v>243764.90181455688</v>
      </c>
      <c r="M25" s="126">
        <f t="shared" si="8"/>
        <v>3500.8025475147274</v>
      </c>
    </row>
    <row r="26" spans="2:13" ht="12.75">
      <c r="B26" s="73"/>
      <c r="C26" s="130">
        <f t="shared" si="4"/>
        <v>19</v>
      </c>
      <c r="D26" s="122">
        <f t="shared" si="5"/>
        <v>178686.13940590466</v>
      </c>
      <c r="E26" s="124">
        <f t="shared" si="0"/>
        <v>2233.576742573808</v>
      </c>
      <c r="F26" s="125">
        <f t="shared" si="1"/>
        <v>1267.2258049409193</v>
      </c>
      <c r="G26" s="126">
        <f t="shared" si="2"/>
        <v>3500.8025475147274</v>
      </c>
      <c r="I26" s="73"/>
      <c r="J26" s="130">
        <f t="shared" si="6"/>
        <v>19</v>
      </c>
      <c r="K26" s="122">
        <f t="shared" si="3"/>
        <v>133484.75159722014</v>
      </c>
      <c r="L26" s="127">
        <f t="shared" si="7"/>
        <v>237690.4842742367</v>
      </c>
      <c r="M26" s="126">
        <f t="shared" si="8"/>
        <v>3500.8025475147274</v>
      </c>
    </row>
    <row r="27" spans="2:13" ht="12.75">
      <c r="B27" s="73"/>
      <c r="C27" s="130">
        <f t="shared" si="4"/>
        <v>20</v>
      </c>
      <c r="D27" s="122">
        <f t="shared" si="5"/>
        <v>177418.91360096374</v>
      </c>
      <c r="E27" s="124">
        <f t="shared" si="0"/>
        <v>2217.736420012047</v>
      </c>
      <c r="F27" s="125">
        <f t="shared" si="1"/>
        <v>1283.0661275026805</v>
      </c>
      <c r="G27" s="126">
        <f t="shared" si="2"/>
        <v>3500.8025475147274</v>
      </c>
      <c r="I27" s="73"/>
      <c r="J27" s="130">
        <f t="shared" si="6"/>
        <v>20</v>
      </c>
      <c r="K27" s="122">
        <f t="shared" si="3"/>
        <v>129983.9490497054</v>
      </c>
      <c r="L27" s="127">
        <f t="shared" si="7"/>
        <v>231616.06673391652</v>
      </c>
      <c r="M27" s="126">
        <f t="shared" si="8"/>
        <v>3500.8025475147274</v>
      </c>
    </row>
    <row r="28" spans="2:13" ht="12.75">
      <c r="B28" s="73"/>
      <c r="C28" s="130">
        <f t="shared" si="4"/>
        <v>21</v>
      </c>
      <c r="D28" s="122">
        <f t="shared" si="5"/>
        <v>176135.8474734611</v>
      </c>
      <c r="E28" s="124">
        <f t="shared" si="0"/>
        <v>2201.6980934182634</v>
      </c>
      <c r="F28" s="125">
        <f t="shared" si="1"/>
        <v>1299.104454096464</v>
      </c>
      <c r="G28" s="126">
        <f t="shared" si="2"/>
        <v>3500.8025475147274</v>
      </c>
      <c r="I28" s="73"/>
      <c r="J28" s="130">
        <f t="shared" si="6"/>
        <v>21</v>
      </c>
      <c r="K28" s="122">
        <f t="shared" si="3"/>
        <v>126483.14650219068</v>
      </c>
      <c r="L28" s="127">
        <f t="shared" si="7"/>
        <v>225541.64919359633</v>
      </c>
      <c r="M28" s="126">
        <f t="shared" si="8"/>
        <v>3500.8025475147274</v>
      </c>
    </row>
    <row r="29" spans="2:13" ht="12.75">
      <c r="B29" s="73"/>
      <c r="C29" s="130">
        <f t="shared" si="4"/>
        <v>22</v>
      </c>
      <c r="D29" s="122">
        <f t="shared" si="5"/>
        <v>174836.7430193646</v>
      </c>
      <c r="E29" s="124">
        <f t="shared" si="0"/>
        <v>2185.4592877420573</v>
      </c>
      <c r="F29" s="125">
        <f t="shared" si="1"/>
        <v>1315.34325977267</v>
      </c>
      <c r="G29" s="126">
        <f t="shared" si="2"/>
        <v>3500.8025475147274</v>
      </c>
      <c r="I29" s="73"/>
      <c r="J29" s="130">
        <f t="shared" si="6"/>
        <v>22</v>
      </c>
      <c r="K29" s="122">
        <f t="shared" si="3"/>
        <v>122982.34395467595</v>
      </c>
      <c r="L29" s="127">
        <f t="shared" si="7"/>
        <v>219467.23165327616</v>
      </c>
      <c r="M29" s="126">
        <f t="shared" si="8"/>
        <v>3500.8025475147274</v>
      </c>
    </row>
    <row r="30" spans="2:13" ht="12.75">
      <c r="B30" s="73"/>
      <c r="C30" s="130">
        <f t="shared" si="4"/>
        <v>23</v>
      </c>
      <c r="D30" s="122">
        <f t="shared" si="5"/>
        <v>173521.39975959194</v>
      </c>
      <c r="E30" s="124">
        <f t="shared" si="0"/>
        <v>2169.017496994899</v>
      </c>
      <c r="F30" s="125">
        <f t="shared" si="1"/>
        <v>1331.7850505198285</v>
      </c>
      <c r="G30" s="126">
        <f t="shared" si="2"/>
        <v>3500.8025475147274</v>
      </c>
      <c r="I30" s="73"/>
      <c r="J30" s="130">
        <f t="shared" si="6"/>
        <v>23</v>
      </c>
      <c r="K30" s="122">
        <f t="shared" si="3"/>
        <v>119481.54140716122</v>
      </c>
      <c r="L30" s="127">
        <f t="shared" si="7"/>
        <v>213392.81411295597</v>
      </c>
      <c r="M30" s="126">
        <f t="shared" si="8"/>
        <v>3500.8025475147274</v>
      </c>
    </row>
    <row r="31" spans="2:13" ht="12.75">
      <c r="B31" s="73"/>
      <c r="C31" s="130">
        <f t="shared" si="4"/>
        <v>24</v>
      </c>
      <c r="D31" s="122">
        <f t="shared" si="5"/>
        <v>172189.61470907208</v>
      </c>
      <c r="E31" s="124">
        <f t="shared" si="0"/>
        <v>2152.370183863401</v>
      </c>
      <c r="F31" s="125">
        <f t="shared" si="1"/>
        <v>1348.4323636513263</v>
      </c>
      <c r="G31" s="126">
        <f t="shared" si="2"/>
        <v>3500.8025475147274</v>
      </c>
      <c r="I31" s="73"/>
      <c r="J31" s="130">
        <f t="shared" si="6"/>
        <v>24</v>
      </c>
      <c r="K31" s="122">
        <f t="shared" si="3"/>
        <v>115980.73885964649</v>
      </c>
      <c r="L31" s="127">
        <f t="shared" si="7"/>
        <v>207318.39657263577</v>
      </c>
      <c r="M31" s="126">
        <f t="shared" si="8"/>
        <v>3500.8025475147274</v>
      </c>
    </row>
    <row r="32" spans="2:13" ht="12.75">
      <c r="B32" s="73"/>
      <c r="C32" s="130">
        <f t="shared" si="4"/>
        <v>25</v>
      </c>
      <c r="D32" s="122">
        <f t="shared" si="5"/>
        <v>170841.1823454208</v>
      </c>
      <c r="E32" s="124">
        <f t="shared" si="0"/>
        <v>2135.51477931776</v>
      </c>
      <c r="F32" s="125">
        <f t="shared" si="1"/>
        <v>1365.2877681969676</v>
      </c>
      <c r="G32" s="126">
        <f t="shared" si="2"/>
        <v>3500.8025475147274</v>
      </c>
      <c r="I32" s="73"/>
      <c r="J32" s="130">
        <f t="shared" si="6"/>
        <v>25</v>
      </c>
      <c r="K32" s="122">
        <f t="shared" si="3"/>
        <v>112479.93631213176</v>
      </c>
      <c r="L32" s="127">
        <f t="shared" si="7"/>
        <v>201243.9790323156</v>
      </c>
      <c r="M32" s="126">
        <f t="shared" si="8"/>
        <v>3500.8025475147274</v>
      </c>
    </row>
    <row r="33" spans="2:13" ht="12.75">
      <c r="B33" s="73"/>
      <c r="C33" s="130">
        <f t="shared" si="4"/>
        <v>26</v>
      </c>
      <c r="D33" s="122">
        <f t="shared" si="5"/>
        <v>169475.8945772238</v>
      </c>
      <c r="E33" s="124">
        <f t="shared" si="0"/>
        <v>2118.4486822152976</v>
      </c>
      <c r="F33" s="125">
        <f t="shared" si="1"/>
        <v>1382.3538652994298</v>
      </c>
      <c r="G33" s="126">
        <f t="shared" si="2"/>
        <v>3500.8025475147274</v>
      </c>
      <c r="I33" s="73"/>
      <c r="J33" s="130">
        <f t="shared" si="6"/>
        <v>26</v>
      </c>
      <c r="K33" s="122">
        <f t="shared" si="3"/>
        <v>108979.13376461703</v>
      </c>
      <c r="L33" s="127">
        <f t="shared" si="7"/>
        <v>195169.5614919954</v>
      </c>
      <c r="M33" s="126">
        <f t="shared" si="8"/>
        <v>3500.8025475147274</v>
      </c>
    </row>
    <row r="34" spans="2:13" ht="12.75">
      <c r="B34" s="73"/>
      <c r="C34" s="130">
        <f t="shared" si="4"/>
        <v>27</v>
      </c>
      <c r="D34" s="122">
        <f t="shared" si="5"/>
        <v>168093.5407119244</v>
      </c>
      <c r="E34" s="124">
        <f t="shared" si="0"/>
        <v>2101.169258899055</v>
      </c>
      <c r="F34" s="125">
        <f t="shared" si="1"/>
        <v>1399.6332886156724</v>
      </c>
      <c r="G34" s="126">
        <f t="shared" si="2"/>
        <v>3500.8025475147274</v>
      </c>
      <c r="I34" s="73"/>
      <c r="J34" s="130">
        <f t="shared" si="6"/>
        <v>27</v>
      </c>
      <c r="K34" s="122">
        <f t="shared" si="3"/>
        <v>105478.3312171023</v>
      </c>
      <c r="L34" s="127">
        <f t="shared" si="7"/>
        <v>189095.14395167524</v>
      </c>
      <c r="M34" s="126">
        <f t="shared" si="8"/>
        <v>3500.8025475147274</v>
      </c>
    </row>
    <row r="35" spans="2:13" ht="12.75">
      <c r="B35" s="73"/>
      <c r="C35" s="130">
        <f t="shared" si="4"/>
        <v>28</v>
      </c>
      <c r="D35" s="122">
        <f t="shared" si="5"/>
        <v>166693.9074233087</v>
      </c>
      <c r="E35" s="124">
        <f t="shared" si="0"/>
        <v>2083.6738427913588</v>
      </c>
      <c r="F35" s="125">
        <f t="shared" si="1"/>
        <v>1417.1287047233686</v>
      </c>
      <c r="G35" s="126">
        <f t="shared" si="2"/>
        <v>3500.8025475147274</v>
      </c>
      <c r="I35" s="73"/>
      <c r="J35" s="130">
        <f t="shared" si="6"/>
        <v>28</v>
      </c>
      <c r="K35" s="122">
        <f t="shared" si="3"/>
        <v>101977.52866958757</v>
      </c>
      <c r="L35" s="127">
        <f t="shared" si="7"/>
        <v>183020.72641135505</v>
      </c>
      <c r="M35" s="126">
        <f t="shared" si="8"/>
        <v>3500.8025475147274</v>
      </c>
    </row>
    <row r="36" spans="2:13" ht="13.5" thickBot="1">
      <c r="B36" s="138"/>
      <c r="C36" s="131">
        <f t="shared" si="4"/>
        <v>29</v>
      </c>
      <c r="D36" s="123">
        <f t="shared" si="5"/>
        <v>165276.77871858535</v>
      </c>
      <c r="E36" s="135">
        <f t="shared" si="0"/>
        <v>2065.959733982317</v>
      </c>
      <c r="F36" s="136">
        <f t="shared" si="1"/>
        <v>1434.8428135324102</v>
      </c>
      <c r="G36" s="129">
        <f t="shared" si="2"/>
        <v>3500.8025475147274</v>
      </c>
      <c r="I36" s="138"/>
      <c r="J36" s="131">
        <f t="shared" si="6"/>
        <v>29</v>
      </c>
      <c r="K36" s="123">
        <f t="shared" si="3"/>
        <v>98476.72612207284</v>
      </c>
      <c r="L36" s="128">
        <f t="shared" si="7"/>
        <v>176946.30887103488</v>
      </c>
      <c r="M36" s="129">
        <f t="shared" si="8"/>
        <v>3500.8025475147274</v>
      </c>
    </row>
    <row r="37" spans="2:12" ht="13.5" thickBot="1">
      <c r="B37" s="226" t="s">
        <v>53</v>
      </c>
      <c r="C37" s="232"/>
      <c r="D37" s="233"/>
      <c r="E37" s="139">
        <f>SUM(E7:E36)</f>
        <v>68866.01233049472</v>
      </c>
      <c r="I37" s="226" t="s">
        <v>53</v>
      </c>
      <c r="J37" s="232"/>
      <c r="K37" s="233"/>
      <c r="L37" s="139">
        <f>SUM(L7:L36)</f>
        <v>7597656.478630001</v>
      </c>
    </row>
  </sheetData>
  <mergeCells count="6">
    <mergeCell ref="B37:D37"/>
    <mergeCell ref="I37:K37"/>
    <mergeCell ref="B4:G4"/>
    <mergeCell ref="B3:G3"/>
    <mergeCell ref="I3:M3"/>
    <mergeCell ref="I4:M4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J25"/>
  <sheetViews>
    <sheetView workbookViewId="0" topLeftCell="A1">
      <selection activeCell="F23" sqref="F23:G23"/>
    </sheetView>
  </sheetViews>
  <sheetFormatPr defaultColWidth="11.421875" defaultRowHeight="12.75"/>
  <cols>
    <col min="2" max="2" width="7.421875" style="0" bestFit="1" customWidth="1"/>
    <col min="3" max="3" width="25.421875" style="0" bestFit="1" customWidth="1"/>
    <col min="4" max="4" width="18.7109375" style="0" bestFit="1" customWidth="1"/>
    <col min="5" max="5" width="25.7109375" style="0" bestFit="1" customWidth="1"/>
    <col min="6" max="6" width="13.28125" style="0" bestFit="1" customWidth="1"/>
    <col min="7" max="7" width="19.00390625" style="0" bestFit="1" customWidth="1"/>
    <col min="8" max="8" width="23.28125" style="0" bestFit="1" customWidth="1"/>
    <col min="9" max="9" width="27.00390625" style="0" bestFit="1" customWidth="1"/>
    <col min="10" max="10" width="11.7109375" style="0" bestFit="1" customWidth="1"/>
  </cols>
  <sheetData>
    <row r="3" ht="13.5" thickBot="1"/>
    <row r="4" spans="3:7" ht="13.5" thickBot="1">
      <c r="C4" s="244" t="s">
        <v>54</v>
      </c>
      <c r="D4" s="245"/>
      <c r="E4" s="245"/>
      <c r="F4" s="246"/>
      <c r="G4" s="247"/>
    </row>
    <row r="5" spans="3:7" ht="13.5" thickBot="1">
      <c r="C5" s="165" t="s">
        <v>55</v>
      </c>
      <c r="D5" s="164" t="s">
        <v>56</v>
      </c>
      <c r="E5" s="165" t="s">
        <v>57</v>
      </c>
      <c r="F5" s="164" t="s">
        <v>58</v>
      </c>
      <c r="G5" s="165" t="s">
        <v>59</v>
      </c>
    </row>
    <row r="6" spans="3:7" ht="13.5" thickBot="1">
      <c r="C6" s="158">
        <v>6000</v>
      </c>
      <c r="D6" s="159">
        <v>4</v>
      </c>
      <c r="E6" s="160">
        <f>D6*C6</f>
        <v>24000</v>
      </c>
      <c r="F6" s="161">
        <v>40</v>
      </c>
      <c r="G6" s="162">
        <f>E6*F6</f>
        <v>960000</v>
      </c>
    </row>
    <row r="7" ht="13.5" thickBot="1"/>
    <row r="8" spans="2:7" ht="13.5" thickBot="1">
      <c r="B8" s="140"/>
      <c r="C8" s="163" t="s">
        <v>55</v>
      </c>
      <c r="D8" s="165" t="s">
        <v>56</v>
      </c>
      <c r="E8" s="164" t="s">
        <v>57</v>
      </c>
      <c r="F8" s="165" t="s">
        <v>58</v>
      </c>
      <c r="G8" s="156" t="s">
        <v>59</v>
      </c>
    </row>
    <row r="9" spans="2:7" ht="12.75">
      <c r="B9" s="152" t="s">
        <v>60</v>
      </c>
      <c r="C9" s="12">
        <v>600</v>
      </c>
      <c r="D9" s="6">
        <v>12</v>
      </c>
      <c r="E9" s="155">
        <f>C9*D9</f>
        <v>7200</v>
      </c>
      <c r="F9" s="5"/>
      <c r="G9" s="145"/>
    </row>
    <row r="10" spans="2:7" ht="13.5" thickBot="1">
      <c r="B10" s="153" t="s">
        <v>61</v>
      </c>
      <c r="C10" s="151">
        <v>1200</v>
      </c>
      <c r="D10" s="1">
        <v>4</v>
      </c>
      <c r="E10" s="142">
        <f>C10*D10</f>
        <v>4800</v>
      </c>
      <c r="F10" s="5"/>
      <c r="G10" s="145"/>
    </row>
    <row r="11" spans="2:8" ht="13.5" thickBot="1">
      <c r="B11" s="154" t="s">
        <v>62</v>
      </c>
      <c r="C11" s="151">
        <v>4200</v>
      </c>
      <c r="D11" s="1">
        <v>1</v>
      </c>
      <c r="E11" s="143">
        <f>C11*D11</f>
        <v>4200</v>
      </c>
      <c r="F11" s="5"/>
      <c r="G11" s="145"/>
      <c r="H11" s="149" t="s">
        <v>63</v>
      </c>
    </row>
    <row r="12" spans="2:8" ht="13.5" thickBot="1">
      <c r="B12" s="34"/>
      <c r="C12" s="141"/>
      <c r="D12" s="141"/>
      <c r="E12" s="146">
        <f>SUM(E9:E11)</f>
        <v>16200</v>
      </c>
      <c r="F12" s="147">
        <v>40</v>
      </c>
      <c r="G12" s="148">
        <f>E12*F12</f>
        <v>648000</v>
      </c>
      <c r="H12" s="150">
        <f>G6-G12</f>
        <v>312000</v>
      </c>
    </row>
    <row r="15" ht="13.5" thickBot="1"/>
    <row r="16" spans="3:9" ht="13.5" thickBot="1">
      <c r="C16" s="226" t="s">
        <v>64</v>
      </c>
      <c r="D16" s="232"/>
      <c r="E16" s="232"/>
      <c r="F16" s="232"/>
      <c r="G16" s="232"/>
      <c r="H16" s="232"/>
      <c r="I16" s="233"/>
    </row>
    <row r="17" spans="3:9" ht="13.5" thickBot="1">
      <c r="C17" s="165" t="s">
        <v>65</v>
      </c>
      <c r="D17" s="164" t="s">
        <v>56</v>
      </c>
      <c r="E17" s="165" t="s">
        <v>66</v>
      </c>
      <c r="F17" s="226" t="s">
        <v>67</v>
      </c>
      <c r="G17" s="233"/>
      <c r="H17" s="165" t="s">
        <v>68</v>
      </c>
      <c r="I17" s="165" t="s">
        <v>69</v>
      </c>
    </row>
    <row r="18" spans="3:9" ht="12.75">
      <c r="C18" s="168">
        <v>3000000</v>
      </c>
      <c r="D18" s="6">
        <v>4</v>
      </c>
      <c r="E18" s="169">
        <f>C18/D18</f>
        <v>750000</v>
      </c>
      <c r="F18" s="248">
        <f>E18/2</f>
        <v>375000</v>
      </c>
      <c r="G18" s="249"/>
      <c r="H18" s="170">
        <v>20</v>
      </c>
      <c r="I18" s="169">
        <f>F18*H18/100</f>
        <v>75000</v>
      </c>
    </row>
    <row r="19" ht="13.5" thickBot="1"/>
    <row r="20" spans="3:9" ht="13.5" thickBot="1">
      <c r="C20" s="226" t="s">
        <v>64</v>
      </c>
      <c r="D20" s="232"/>
      <c r="E20" s="232"/>
      <c r="F20" s="232"/>
      <c r="G20" s="232"/>
      <c r="H20" s="232"/>
      <c r="I20" s="233"/>
    </row>
    <row r="21" spans="2:9" ht="13.5" thickBot="1">
      <c r="B21" s="140"/>
      <c r="C21" s="166" t="s">
        <v>65</v>
      </c>
      <c r="D21" s="167" t="s">
        <v>56</v>
      </c>
      <c r="E21" s="166" t="s">
        <v>66</v>
      </c>
      <c r="F21" s="224" t="s">
        <v>67</v>
      </c>
      <c r="G21" s="250"/>
      <c r="H21" s="144" t="s">
        <v>68</v>
      </c>
      <c r="I21" s="175" t="s">
        <v>69</v>
      </c>
    </row>
    <row r="22" spans="2:9" ht="12.75">
      <c r="B22" s="171" t="s">
        <v>60</v>
      </c>
      <c r="C22" s="179">
        <v>2100000</v>
      </c>
      <c r="D22" s="180">
        <v>12</v>
      </c>
      <c r="E22" s="181">
        <f>C22/D22</f>
        <v>175000</v>
      </c>
      <c r="F22" s="251">
        <f>E22/2</f>
        <v>87500</v>
      </c>
      <c r="G22" s="252"/>
      <c r="H22" s="182"/>
      <c r="I22" s="183"/>
    </row>
    <row r="23" spans="2:9" ht="13.5" thickBot="1">
      <c r="B23" s="172" t="s">
        <v>61</v>
      </c>
      <c r="C23" s="176">
        <v>750000</v>
      </c>
      <c r="D23" s="1">
        <v>4</v>
      </c>
      <c r="E23" s="174">
        <f>C23/D23</f>
        <v>187500</v>
      </c>
      <c r="F23" s="248">
        <f>E23/2</f>
        <v>93750</v>
      </c>
      <c r="G23" s="249"/>
      <c r="H23" s="10"/>
      <c r="I23" s="145"/>
    </row>
    <row r="24" spans="2:10" ht="13.5" thickBot="1">
      <c r="B24" s="173" t="s">
        <v>62</v>
      </c>
      <c r="C24" s="184">
        <v>150000</v>
      </c>
      <c r="D24" s="185">
        <v>1</v>
      </c>
      <c r="E24" s="186">
        <f>C24/D24</f>
        <v>150000</v>
      </c>
      <c r="F24" s="240">
        <f>E24/2</f>
        <v>75000</v>
      </c>
      <c r="G24" s="241"/>
      <c r="H24" s="187"/>
      <c r="I24" s="188"/>
      <c r="J24" s="149" t="s">
        <v>63</v>
      </c>
    </row>
    <row r="25" spans="2:10" ht="13.5" thickBot="1">
      <c r="B25" s="140"/>
      <c r="C25" s="34"/>
      <c r="D25" s="141"/>
      <c r="E25" s="141"/>
      <c r="F25" s="242">
        <f>SUM(F22:G24)</f>
        <v>256250</v>
      </c>
      <c r="G25" s="243"/>
      <c r="H25" s="177">
        <v>20</v>
      </c>
      <c r="I25" s="178">
        <f>F25*H25/100</f>
        <v>51250</v>
      </c>
      <c r="J25" s="150">
        <f>I18-I25</f>
        <v>23750</v>
      </c>
    </row>
  </sheetData>
  <mergeCells count="10">
    <mergeCell ref="F24:G24"/>
    <mergeCell ref="F25:G25"/>
    <mergeCell ref="C4:G4"/>
    <mergeCell ref="F17:G17"/>
    <mergeCell ref="F18:G18"/>
    <mergeCell ref="C16:I16"/>
    <mergeCell ref="C20:I20"/>
    <mergeCell ref="F21:G21"/>
    <mergeCell ref="F22:G22"/>
    <mergeCell ref="F23:G23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workbookViewId="0" topLeftCell="A1">
      <selection activeCell="K16" sqref="K16"/>
    </sheetView>
  </sheetViews>
  <sheetFormatPr defaultColWidth="11.421875" defaultRowHeight="12.75"/>
  <cols>
    <col min="1" max="1" width="4.421875" style="0" customWidth="1"/>
    <col min="2" max="2" width="16.28125" style="0" bestFit="1" customWidth="1"/>
    <col min="8" max="8" width="23.28125" style="0" bestFit="1" customWidth="1"/>
  </cols>
  <sheetData>
    <row r="4" ht="14.25">
      <c r="C4" s="189" t="s">
        <v>70</v>
      </c>
    </row>
    <row r="7" spans="3:4" ht="14.25">
      <c r="C7" s="189" t="s">
        <v>80</v>
      </c>
      <c r="D7" s="189" t="s">
        <v>71</v>
      </c>
    </row>
    <row r="8" spans="3:4" ht="12.75">
      <c r="C8" s="189" t="s">
        <v>13</v>
      </c>
      <c r="D8" s="189" t="s">
        <v>72</v>
      </c>
    </row>
    <row r="9" spans="3:4" ht="12.75">
      <c r="C9" s="189" t="s">
        <v>73</v>
      </c>
      <c r="D9" s="189" t="s">
        <v>74</v>
      </c>
    </row>
    <row r="10" spans="3:4" ht="12.75">
      <c r="C10" s="189" t="s">
        <v>75</v>
      </c>
      <c r="D10" s="189" t="s">
        <v>76</v>
      </c>
    </row>
    <row r="11" spans="3:4" ht="12.75">
      <c r="C11" s="189" t="s">
        <v>77</v>
      </c>
      <c r="D11" s="189" t="s">
        <v>78</v>
      </c>
    </row>
    <row r="12" spans="3:4" ht="12.75">
      <c r="C12" s="189" t="s">
        <v>42</v>
      </c>
      <c r="D12" s="189" t="s">
        <v>79</v>
      </c>
    </row>
    <row r="14" ht="13.5" thickBot="1"/>
    <row r="15" spans="6:8" ht="13.5" thickBot="1">
      <c r="F15" s="226" t="s">
        <v>87</v>
      </c>
      <c r="G15" s="253"/>
      <c r="H15" s="165" t="s">
        <v>86</v>
      </c>
    </row>
    <row r="16" spans="2:8" ht="13.5" thickBot="1">
      <c r="B16" s="144" t="s">
        <v>85</v>
      </c>
      <c r="C16" s="192" t="s">
        <v>13</v>
      </c>
      <c r="D16" s="157" t="s">
        <v>84</v>
      </c>
      <c r="E16" s="19" t="s">
        <v>73</v>
      </c>
      <c r="F16" s="19" t="s">
        <v>81</v>
      </c>
      <c r="G16" s="19" t="s">
        <v>82</v>
      </c>
      <c r="H16" s="78" t="s">
        <v>83</v>
      </c>
    </row>
    <row r="17" spans="2:10" ht="13.5" thickBot="1">
      <c r="B17" s="79">
        <v>4</v>
      </c>
      <c r="C17" s="193">
        <v>1</v>
      </c>
      <c r="D17" s="194">
        <v>4</v>
      </c>
      <c r="E17" s="36">
        <v>1.25</v>
      </c>
      <c r="F17" s="6">
        <v>100</v>
      </c>
      <c r="G17" s="11">
        <v>120</v>
      </c>
      <c r="H17" s="197">
        <f>(C17*D17+(E17*(1-(F17/G17))))/(C17+1)</f>
        <v>2.1041666666666665</v>
      </c>
      <c r="J17" s="190"/>
    </row>
    <row r="18" spans="6:8" ht="12.75">
      <c r="F18" s="191">
        <v>500</v>
      </c>
      <c r="G18" s="11">
        <v>125</v>
      </c>
      <c r="H18" s="198">
        <f>IF(B$17&gt;1,IF(1-(F18/G18)&lt;0,(-1*(1-(F18/G18))*E$17+C$17*H17)/(C$17+1),(1-(F18/G18)*E$17+C$17*H17)/(C$17+1)),"")</f>
        <v>2.927083333333333</v>
      </c>
    </row>
    <row r="19" spans="6:8" ht="12.75">
      <c r="F19" s="76">
        <v>1200</v>
      </c>
      <c r="G19" s="195">
        <v>130</v>
      </c>
      <c r="H19" s="199">
        <f>IF(B$17&gt;2,IF(1-(F19/G19)&lt;0,(-1*(1-(F19/G19))*E$17+C$17*H18)/(C$17+1),(1-(F19/G19)*E$17+C$17*H18)/(C$17+1)),"")</f>
        <v>6.607772435897434</v>
      </c>
    </row>
    <row r="20" spans="6:8" ht="12.75">
      <c r="F20" s="76">
        <v>2000</v>
      </c>
      <c r="G20" s="195">
        <v>135</v>
      </c>
      <c r="H20" s="199">
        <f>IF(B$17&gt;3,IF(1-(F20/G20)&lt;0,(-1*(1-(F20/G20))*E$17+C$17*H19)/(C$17+1),(1-(F20/G20)*E$17+C$17*H19)/(C$17+1)),"")</f>
        <v>11.938145477207977</v>
      </c>
    </row>
    <row r="21" spans="6:8" ht="12.75">
      <c r="F21" s="76"/>
      <c r="G21" s="195"/>
      <c r="H21" s="199">
        <f>IF(B$17&gt;4,IF(1-(F21/G21)&lt;0,(-1*(1-(F21/G21))*E$17+C$17*H20)/(C$17+1),(1-(F21/G21)*E$17+C$17*H20)/(C$17+1)),"")</f>
      </c>
    </row>
    <row r="22" spans="6:8" ht="12.75">
      <c r="F22" s="76"/>
      <c r="G22" s="195"/>
      <c r="H22" s="199">
        <f>IF(B$17&gt;5,IF(1-(F22/G22)&lt;0,(-1*(1-(F22/G22))*E$17+C$17*H21)/(C$17+1),(1-(F22/G22)*E$17+C$17*H21)/(C$17+1)),"")</f>
      </c>
    </row>
    <row r="23" spans="6:8" ht="12.75">
      <c r="F23" s="76"/>
      <c r="G23" s="195"/>
      <c r="H23" s="199">
        <f>IF(B$17&gt;6,IF(1-(F23/G23)&lt;0,(-1*(1-(F23/G23))*E$17+C$17*H22)/(C$17+1),(1-(F23/G23)*E$17+C$17*H22)/(C$17+1)),"")</f>
      </c>
    </row>
    <row r="24" spans="6:8" ht="13.5" thickBot="1">
      <c r="F24" s="90"/>
      <c r="G24" s="196"/>
      <c r="H24" s="200">
        <f>IF(B$17&gt;7,IF(1-(F24/G24)&lt;0,(-1*(1-(F24/G24))*E$17+C$17*H23)/(C$17+1),(1-(F24/G24)*E$17+C$17*H23)/(C$17+1)),"")</f>
      </c>
    </row>
  </sheetData>
  <mergeCells count="1">
    <mergeCell ref="F15:G15"/>
  </mergeCells>
  <printOptions/>
  <pageMargins left="0.75" right="0.75" top="1" bottom="1" header="0.4921259845" footer="0.4921259845"/>
  <pageSetup orientation="portrait" paperSize="9" r:id="rId3"/>
  <legacyDrawing r:id="rId2"/>
  <oleObjects>
    <oleObject progId="Equation.3" shapeId="27458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3:J27"/>
  <sheetViews>
    <sheetView workbookViewId="0" topLeftCell="A1">
      <selection activeCell="K31" sqref="K31"/>
    </sheetView>
  </sheetViews>
  <sheetFormatPr defaultColWidth="11.421875" defaultRowHeight="12.75"/>
  <cols>
    <col min="2" max="2" width="8.140625" style="0" bestFit="1" customWidth="1"/>
    <col min="3" max="3" width="7.00390625" style="0" bestFit="1" customWidth="1"/>
    <col min="4" max="4" width="20.28125" style="0" bestFit="1" customWidth="1"/>
    <col min="5" max="5" width="19.00390625" style="0" bestFit="1" customWidth="1"/>
    <col min="6" max="6" width="29.140625" style="0" bestFit="1" customWidth="1"/>
    <col min="7" max="7" width="14.28125" style="0" bestFit="1" customWidth="1"/>
    <col min="8" max="8" width="20.00390625" style="0" bestFit="1" customWidth="1"/>
    <col min="9" max="9" width="15.7109375" style="0" bestFit="1" customWidth="1"/>
    <col min="10" max="10" width="36.7109375" style="0" customWidth="1"/>
  </cols>
  <sheetData>
    <row r="2" ht="13.5" thickBot="1"/>
    <row r="3" spans="2:10" ht="13.5" thickBot="1">
      <c r="B3" s="77" t="s">
        <v>21</v>
      </c>
      <c r="C3" s="19" t="s">
        <v>88</v>
      </c>
      <c r="D3" s="19" t="s">
        <v>94</v>
      </c>
      <c r="E3" s="19" t="s">
        <v>89</v>
      </c>
      <c r="F3" s="19" t="s">
        <v>90</v>
      </c>
      <c r="G3" s="19" t="s">
        <v>91</v>
      </c>
      <c r="H3" s="19" t="s">
        <v>64</v>
      </c>
      <c r="I3" s="19" t="s">
        <v>92</v>
      </c>
      <c r="J3" s="78" t="s">
        <v>93</v>
      </c>
    </row>
    <row r="4" spans="2:10" ht="12.75">
      <c r="B4" s="106">
        <v>1</v>
      </c>
      <c r="C4" s="180">
        <v>200</v>
      </c>
      <c r="D4" s="180"/>
      <c r="E4" s="180">
        <v>0.5</v>
      </c>
      <c r="F4" s="180">
        <f>C4*E4*E$26</f>
        <v>10</v>
      </c>
      <c r="G4" s="180">
        <f>F4</f>
        <v>10</v>
      </c>
      <c r="H4" s="180"/>
      <c r="I4" s="259">
        <v>40</v>
      </c>
      <c r="J4" s="205">
        <f>(I$4+G4)/C4</f>
        <v>0.25</v>
      </c>
    </row>
    <row r="5" spans="2:10" ht="12.75">
      <c r="B5" s="76">
        <v>2</v>
      </c>
      <c r="C5" s="1">
        <v>180</v>
      </c>
      <c r="D5" s="1">
        <f>C5+C4</f>
        <v>380</v>
      </c>
      <c r="E5" s="1">
        <f>E4+1</f>
        <v>1.5</v>
      </c>
      <c r="F5" s="1">
        <f>C5*E5*E$26</f>
        <v>27</v>
      </c>
      <c r="G5" s="1">
        <f>F4+F5</f>
        <v>37</v>
      </c>
      <c r="H5" s="1">
        <v>37</v>
      </c>
      <c r="I5" s="260"/>
      <c r="J5" s="202">
        <f>(I$4+G5)/(C5+C4)</f>
        <v>0.2026315789473684</v>
      </c>
    </row>
    <row r="6" spans="2:10" ht="12.75">
      <c r="B6" s="76">
        <v>3</v>
      </c>
      <c r="C6" s="1">
        <v>190</v>
      </c>
      <c r="D6" s="1"/>
      <c r="E6" s="1">
        <f>E5+1</f>
        <v>2.5</v>
      </c>
      <c r="F6" s="1">
        <f>C6*E6*E$26</f>
        <v>47.5</v>
      </c>
      <c r="G6" s="1">
        <f>F4+F5+F6</f>
        <v>84.5</v>
      </c>
      <c r="H6" s="1"/>
      <c r="I6" s="261"/>
      <c r="J6" s="202">
        <f>(I$4+G6)/(C4+C5+C6)</f>
        <v>0.21842105263157896</v>
      </c>
    </row>
    <row r="7" spans="2:10" ht="6" customHeight="1">
      <c r="B7" s="76"/>
      <c r="C7" s="1"/>
      <c r="D7" s="1"/>
      <c r="E7" s="1"/>
      <c r="F7" s="1"/>
      <c r="G7" s="1"/>
      <c r="H7" s="1"/>
      <c r="I7" s="1"/>
      <c r="J7" s="108"/>
    </row>
    <row r="8" spans="2:10" ht="12.75">
      <c r="B8" s="76">
        <v>3</v>
      </c>
      <c r="C8" s="1">
        <v>190</v>
      </c>
      <c r="D8" s="1"/>
      <c r="E8" s="1">
        <v>0.5</v>
      </c>
      <c r="F8" s="1">
        <f>C8*E8*E$26</f>
        <v>9.5</v>
      </c>
      <c r="G8" s="1">
        <f>F8</f>
        <v>9.5</v>
      </c>
      <c r="H8" s="1"/>
      <c r="I8" s="262">
        <v>40</v>
      </c>
      <c r="J8" s="202">
        <f>(G8+I$8)/C8</f>
        <v>0.26052631578947366</v>
      </c>
    </row>
    <row r="9" spans="2:10" ht="12.75">
      <c r="B9" s="76">
        <v>4</v>
      </c>
      <c r="C9" s="1">
        <v>160</v>
      </c>
      <c r="D9" s="1">
        <f>C9+C8</f>
        <v>350</v>
      </c>
      <c r="E9" s="1">
        <f>E8+1</f>
        <v>1.5</v>
      </c>
      <c r="F9" s="1">
        <f>C9*E9*E$26</f>
        <v>24</v>
      </c>
      <c r="G9" s="1">
        <f>F8+F9</f>
        <v>33.5</v>
      </c>
      <c r="H9" s="1">
        <v>33.5</v>
      </c>
      <c r="I9" s="260"/>
      <c r="J9" s="202">
        <f>(G9+I$8)/(C9+C8)</f>
        <v>0.21</v>
      </c>
    </row>
    <row r="10" spans="2:10" ht="12.75">
      <c r="B10" s="76">
        <v>5</v>
      </c>
      <c r="C10" s="1">
        <v>120</v>
      </c>
      <c r="D10" s="1"/>
      <c r="E10" s="1">
        <f>E9+1</f>
        <v>2.5</v>
      </c>
      <c r="F10" s="1">
        <f>C10*E10*E$26</f>
        <v>30</v>
      </c>
      <c r="G10" s="1">
        <f>F8+F9+F10</f>
        <v>63.5</v>
      </c>
      <c r="H10" s="1"/>
      <c r="I10" s="261"/>
      <c r="J10" s="202">
        <f>(G10+I$8)/(C10+C9+C8)</f>
        <v>0.22021276595744682</v>
      </c>
    </row>
    <row r="11" spans="2:10" ht="6" customHeight="1">
      <c r="B11" s="76"/>
      <c r="C11" s="1"/>
      <c r="D11" s="1"/>
      <c r="E11" s="1"/>
      <c r="F11" s="1"/>
      <c r="G11" s="1"/>
      <c r="H11" s="1"/>
      <c r="I11" s="1"/>
      <c r="J11" s="108"/>
    </row>
    <row r="12" spans="2:10" ht="12.75">
      <c r="B12" s="76">
        <v>5</v>
      </c>
      <c r="C12" s="1">
        <v>120</v>
      </c>
      <c r="D12" s="1"/>
      <c r="E12" s="1">
        <v>0.5</v>
      </c>
      <c r="F12" s="1">
        <f>C12*E12*E$26</f>
        <v>6</v>
      </c>
      <c r="G12" s="1">
        <f>F12</f>
        <v>6</v>
      </c>
      <c r="H12" s="1"/>
      <c r="I12" s="262">
        <v>40</v>
      </c>
      <c r="J12" s="202">
        <f>(G12+I$12)/C12</f>
        <v>0.38333333333333336</v>
      </c>
    </row>
    <row r="13" spans="2:10" ht="12.75">
      <c r="B13" s="76">
        <v>6</v>
      </c>
      <c r="C13" s="1">
        <v>140</v>
      </c>
      <c r="D13" s="1"/>
      <c r="E13" s="1">
        <f>E12+1</f>
        <v>1.5</v>
      </c>
      <c r="F13" s="1">
        <f>C13*E13*E$26</f>
        <v>21</v>
      </c>
      <c r="G13" s="1">
        <f>F12+F13</f>
        <v>27</v>
      </c>
      <c r="H13" s="1"/>
      <c r="I13" s="260"/>
      <c r="J13" s="202">
        <f>(G13+I$12)/(C13+C12)</f>
        <v>0.25769230769230766</v>
      </c>
    </row>
    <row r="14" spans="2:10" ht="12.75">
      <c r="B14" s="76">
        <v>7</v>
      </c>
      <c r="C14" s="1">
        <v>140</v>
      </c>
      <c r="D14" s="1">
        <f>C14+C13+C12</f>
        <v>400</v>
      </c>
      <c r="E14" s="1">
        <f>E13+1</f>
        <v>2.5</v>
      </c>
      <c r="F14" s="1">
        <f>C14*E14*E$26</f>
        <v>35</v>
      </c>
      <c r="G14" s="1">
        <f>F12+F13+F14</f>
        <v>62</v>
      </c>
      <c r="H14" s="1">
        <v>62</v>
      </c>
      <c r="I14" s="260"/>
      <c r="J14" s="202">
        <f>(G14+I$12)/(C14+C13+C12)</f>
        <v>0.255</v>
      </c>
    </row>
    <row r="15" spans="2:10" ht="12.75">
      <c r="B15" s="76">
        <v>8</v>
      </c>
      <c r="C15" s="1">
        <v>60</v>
      </c>
      <c r="D15" s="1"/>
      <c r="E15" s="1">
        <f>E14+1</f>
        <v>3.5</v>
      </c>
      <c r="F15" s="1">
        <f>C15*E15*E$26</f>
        <v>21</v>
      </c>
      <c r="G15" s="1">
        <f>F12+F13+F14+F15</f>
        <v>83</v>
      </c>
      <c r="H15" s="1"/>
      <c r="I15" s="261"/>
      <c r="J15" s="202">
        <f>(G15+I$12)/(C15+C14+C13+C12)</f>
        <v>0.2673913043478261</v>
      </c>
    </row>
    <row r="16" spans="2:10" ht="6" customHeight="1">
      <c r="B16" s="76"/>
      <c r="C16" s="1"/>
      <c r="D16" s="1"/>
      <c r="E16" s="1"/>
      <c r="F16" s="1"/>
      <c r="G16" s="1"/>
      <c r="H16" s="1"/>
      <c r="I16" s="1"/>
      <c r="J16" s="108"/>
    </row>
    <row r="17" spans="2:10" ht="12.75">
      <c r="B17" s="76">
        <v>8</v>
      </c>
      <c r="C17" s="1">
        <v>60</v>
      </c>
      <c r="D17" s="1"/>
      <c r="E17" s="1">
        <v>0.5</v>
      </c>
      <c r="F17" s="1">
        <f>C17*E17*E$26</f>
        <v>3</v>
      </c>
      <c r="G17" s="1">
        <f>F17</f>
        <v>3</v>
      </c>
      <c r="H17" s="1"/>
      <c r="I17" s="262">
        <v>40</v>
      </c>
      <c r="J17" s="202">
        <f>(G17+I$17)/C17</f>
        <v>0.7166666666666667</v>
      </c>
    </row>
    <row r="18" spans="2:10" ht="12.75">
      <c r="B18" s="76">
        <v>9</v>
      </c>
      <c r="C18" s="1">
        <v>20</v>
      </c>
      <c r="D18" s="1"/>
      <c r="E18" s="1">
        <f>E17+1</f>
        <v>1.5</v>
      </c>
      <c r="F18" s="1">
        <f>C18*E18*E$26</f>
        <v>3</v>
      </c>
      <c r="G18" s="1">
        <f>F17+F18</f>
        <v>6</v>
      </c>
      <c r="H18" s="1"/>
      <c r="I18" s="260"/>
      <c r="J18" s="202">
        <f>(G18+I$17)/(C18+C17)</f>
        <v>0.575</v>
      </c>
    </row>
    <row r="19" spans="2:10" ht="12.75">
      <c r="B19" s="76">
        <v>10</v>
      </c>
      <c r="C19" s="1">
        <v>20</v>
      </c>
      <c r="D19" s="1"/>
      <c r="E19" s="1">
        <f>E18+1</f>
        <v>2.5</v>
      </c>
      <c r="F19" s="1">
        <f>C19*E19*E$26</f>
        <v>5</v>
      </c>
      <c r="G19" s="1">
        <f>F17+F18+F19</f>
        <v>11</v>
      </c>
      <c r="H19" s="1"/>
      <c r="I19" s="260"/>
      <c r="J19" s="202">
        <f>(G19+I$17)/(C19+C18+C17)</f>
        <v>0.51</v>
      </c>
    </row>
    <row r="20" spans="2:10" ht="12.75">
      <c r="B20" s="76">
        <v>11</v>
      </c>
      <c r="C20" s="1">
        <v>100</v>
      </c>
      <c r="D20" s="1">
        <f>C20+C19+C18+C17</f>
        <v>200</v>
      </c>
      <c r="E20" s="1">
        <f>E19+1</f>
        <v>3.5</v>
      </c>
      <c r="F20" s="1">
        <f>C20*E20*E$26</f>
        <v>35</v>
      </c>
      <c r="G20" s="1">
        <f>F17+F18+F19+F20</f>
        <v>46</v>
      </c>
      <c r="H20" s="1">
        <v>46</v>
      </c>
      <c r="I20" s="260"/>
      <c r="J20" s="202">
        <f>(G20+I$17)/(C20+C19+C18+C17)</f>
        <v>0.43</v>
      </c>
    </row>
    <row r="21" spans="2:10" ht="12.75">
      <c r="B21" s="76">
        <v>12</v>
      </c>
      <c r="C21" s="1">
        <v>100</v>
      </c>
      <c r="D21" s="1"/>
      <c r="E21" s="1">
        <f>E20+1</f>
        <v>4.5</v>
      </c>
      <c r="F21" s="1">
        <f>C21*E21*E$26</f>
        <v>45</v>
      </c>
      <c r="G21" s="1">
        <f>F17+F18+F19+F20+F21</f>
        <v>91</v>
      </c>
      <c r="H21" s="1"/>
      <c r="I21" s="261"/>
      <c r="J21" s="202">
        <f>(G21+I$17)/(C21+C20+C19+C18+C17)</f>
        <v>0.43666666666666665</v>
      </c>
    </row>
    <row r="22" spans="2:10" ht="6" customHeight="1">
      <c r="B22" s="76"/>
      <c r="C22" s="1"/>
      <c r="D22" s="1"/>
      <c r="E22" s="1"/>
      <c r="F22" s="1"/>
      <c r="G22" s="1"/>
      <c r="H22" s="1"/>
      <c r="I22" s="1"/>
      <c r="J22" s="108"/>
    </row>
    <row r="23" spans="2:10" ht="13.5" thickBot="1">
      <c r="B23" s="90">
        <v>12</v>
      </c>
      <c r="C23" s="185">
        <v>100</v>
      </c>
      <c r="D23" s="185">
        <f>C23</f>
        <v>100</v>
      </c>
      <c r="E23" s="185">
        <v>0.5</v>
      </c>
      <c r="F23" s="185">
        <f>C23*E23*E$26</f>
        <v>5</v>
      </c>
      <c r="G23" s="185">
        <f>F23</f>
        <v>5</v>
      </c>
      <c r="H23" s="185">
        <v>5</v>
      </c>
      <c r="I23" s="203">
        <v>40</v>
      </c>
      <c r="J23" s="206">
        <f>(G23+I$23)/(C23)</f>
        <v>0.45</v>
      </c>
    </row>
    <row r="24" spans="8:9" ht="12.75">
      <c r="H24" s="27">
        <f>SUM(H4:H23)</f>
        <v>183.5</v>
      </c>
      <c r="I24" s="27">
        <f>SUM(I4:I23)</f>
        <v>200</v>
      </c>
    </row>
    <row r="25" ht="13.5" thickBot="1"/>
    <row r="26" spans="2:5" ht="13.5" thickBot="1">
      <c r="B26" s="254" t="s">
        <v>95</v>
      </c>
      <c r="C26" s="255"/>
      <c r="D26" s="239"/>
      <c r="E26" s="204">
        <v>0.1</v>
      </c>
    </row>
    <row r="27" spans="2:5" ht="13.5" thickBot="1">
      <c r="B27" s="256" t="s">
        <v>96</v>
      </c>
      <c r="C27" s="257"/>
      <c r="D27" s="258"/>
      <c r="E27" s="188">
        <v>40</v>
      </c>
    </row>
  </sheetData>
  <mergeCells count="6">
    <mergeCell ref="B26:D26"/>
    <mergeCell ref="B27:D27"/>
    <mergeCell ref="I4:I6"/>
    <mergeCell ref="I8:I10"/>
    <mergeCell ref="I12:I15"/>
    <mergeCell ref="I17:I2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64"/>
  <sheetViews>
    <sheetView workbookViewId="0" topLeftCell="A22">
      <selection activeCell="F61" sqref="F61"/>
    </sheetView>
  </sheetViews>
  <sheetFormatPr defaultColWidth="11.421875" defaultRowHeight="12.75"/>
  <cols>
    <col min="2" max="2" width="8.140625" style="0" bestFit="1" customWidth="1"/>
    <col min="3" max="3" width="7.00390625" style="0" bestFit="1" customWidth="1"/>
    <col min="4" max="4" width="20.28125" style="0" bestFit="1" customWidth="1"/>
    <col min="5" max="5" width="19.00390625" style="0" bestFit="1" customWidth="1"/>
    <col min="6" max="6" width="29.140625" style="0" bestFit="1" customWidth="1"/>
    <col min="7" max="7" width="14.28125" style="0" bestFit="1" customWidth="1"/>
    <col min="8" max="8" width="15.7109375" style="0" bestFit="1" customWidth="1"/>
    <col min="9" max="9" width="36.7109375" style="0" customWidth="1"/>
  </cols>
  <sheetData>
    <row r="2" ht="13.5" thickBot="1"/>
    <row r="3" spans="2:9" ht="13.5" thickBot="1">
      <c r="B3" s="201" t="s">
        <v>21</v>
      </c>
      <c r="C3" s="157" t="s">
        <v>88</v>
      </c>
      <c r="D3" s="157" t="s">
        <v>94</v>
      </c>
      <c r="E3" s="157" t="s">
        <v>89</v>
      </c>
      <c r="F3" s="157" t="s">
        <v>90</v>
      </c>
      <c r="G3" s="157" t="s">
        <v>91</v>
      </c>
      <c r="H3" s="215" t="s">
        <v>92</v>
      </c>
      <c r="I3" s="207"/>
    </row>
    <row r="4" spans="2:9" ht="12.75">
      <c r="B4" s="209">
        <v>1</v>
      </c>
      <c r="C4" s="210">
        <v>200</v>
      </c>
      <c r="D4" s="210"/>
      <c r="E4" s="210">
        <v>0.5</v>
      </c>
      <c r="F4" s="210">
        <f aca="true" t="shared" si="0" ref="F4:F15">C4*E4*E$18</f>
        <v>10</v>
      </c>
      <c r="G4" s="210">
        <f>F4</f>
        <v>10</v>
      </c>
      <c r="H4" s="263">
        <v>40</v>
      </c>
      <c r="I4" s="119"/>
    </row>
    <row r="5" spans="2:9" ht="13.5" thickBot="1">
      <c r="B5" s="213">
        <v>2</v>
      </c>
      <c r="C5" s="214">
        <v>180</v>
      </c>
      <c r="D5" s="214">
        <f>C5+C4</f>
        <v>380</v>
      </c>
      <c r="E5" s="214">
        <v>1.5</v>
      </c>
      <c r="F5" s="217">
        <f t="shared" si="0"/>
        <v>27</v>
      </c>
      <c r="G5" s="214">
        <f>F5+F4</f>
        <v>37</v>
      </c>
      <c r="H5" s="264"/>
      <c r="I5" s="208"/>
    </row>
    <row r="6" spans="2:9" ht="12.75">
      <c r="B6" s="209">
        <v>3</v>
      </c>
      <c r="C6" s="210">
        <v>190</v>
      </c>
      <c r="D6" s="210"/>
      <c r="E6" s="210">
        <v>0.5</v>
      </c>
      <c r="F6" s="210">
        <f t="shared" si="0"/>
        <v>9.5</v>
      </c>
      <c r="G6" s="210">
        <f>F6</f>
        <v>9.5</v>
      </c>
      <c r="H6" s="263">
        <v>40</v>
      </c>
      <c r="I6" s="208"/>
    </row>
    <row r="7" spans="2:9" ht="12.75" customHeight="1" thickBot="1">
      <c r="B7" s="213">
        <v>4</v>
      </c>
      <c r="C7" s="214">
        <v>160</v>
      </c>
      <c r="D7" s="214">
        <f>C7+C6</f>
        <v>350</v>
      </c>
      <c r="E7" s="214">
        <v>1.5</v>
      </c>
      <c r="F7" s="217">
        <f t="shared" si="0"/>
        <v>24</v>
      </c>
      <c r="G7" s="214">
        <f>F7+F6</f>
        <v>33.5</v>
      </c>
      <c r="H7" s="265"/>
      <c r="I7" s="140"/>
    </row>
    <row r="8" spans="2:9" ht="12.75">
      <c r="B8" s="209">
        <v>5</v>
      </c>
      <c r="C8" s="210">
        <v>120</v>
      </c>
      <c r="D8" s="210"/>
      <c r="E8" s="210">
        <v>0.5</v>
      </c>
      <c r="F8" s="210">
        <f t="shared" si="0"/>
        <v>6</v>
      </c>
      <c r="G8" s="210">
        <f>F8</f>
        <v>6</v>
      </c>
      <c r="H8" s="263">
        <v>40</v>
      </c>
      <c r="I8" s="208"/>
    </row>
    <row r="9" spans="2:9" ht="13.5" thickBot="1">
      <c r="B9" s="213">
        <v>6</v>
      </c>
      <c r="C9" s="214">
        <v>140</v>
      </c>
      <c r="D9" s="214">
        <f>C9+C8</f>
        <v>260</v>
      </c>
      <c r="E9" s="214">
        <v>1.5</v>
      </c>
      <c r="F9" s="217">
        <f t="shared" si="0"/>
        <v>21</v>
      </c>
      <c r="G9" s="214">
        <f>F9+F8</f>
        <v>27</v>
      </c>
      <c r="H9" s="264"/>
      <c r="I9" s="208"/>
    </row>
    <row r="10" spans="2:9" ht="12.75">
      <c r="B10" s="209">
        <v>7</v>
      </c>
      <c r="C10" s="210">
        <v>140</v>
      </c>
      <c r="D10" s="210"/>
      <c r="E10" s="210">
        <v>0.5</v>
      </c>
      <c r="F10" s="210">
        <f t="shared" si="0"/>
        <v>7</v>
      </c>
      <c r="G10" s="210">
        <f>F10</f>
        <v>7</v>
      </c>
      <c r="H10" s="263">
        <v>40</v>
      </c>
      <c r="I10" s="208"/>
    </row>
    <row r="11" spans="2:9" ht="12.75" customHeight="1">
      <c r="B11" s="211">
        <v>8</v>
      </c>
      <c r="C11" s="212">
        <v>60</v>
      </c>
      <c r="D11" s="212"/>
      <c r="E11" s="212">
        <v>1.5</v>
      </c>
      <c r="F11" s="212">
        <f t="shared" si="0"/>
        <v>9</v>
      </c>
      <c r="G11" s="212">
        <f>F11+F10</f>
        <v>16</v>
      </c>
      <c r="H11" s="266"/>
      <c r="I11" s="140"/>
    </row>
    <row r="12" spans="2:9" ht="12.75">
      <c r="B12" s="211">
        <v>9</v>
      </c>
      <c r="C12" s="212">
        <v>20</v>
      </c>
      <c r="D12" s="212"/>
      <c r="E12" s="212">
        <v>2.5</v>
      </c>
      <c r="F12" s="217">
        <f t="shared" si="0"/>
        <v>5</v>
      </c>
      <c r="G12" s="217">
        <f>F12+F11+F10</f>
        <v>21</v>
      </c>
      <c r="H12" s="266"/>
      <c r="I12" s="208"/>
    </row>
    <row r="13" spans="2:9" ht="13.5" thickBot="1">
      <c r="B13" s="213">
        <v>10</v>
      </c>
      <c r="C13" s="214">
        <v>20</v>
      </c>
      <c r="D13" s="214">
        <f>SUM(C10:C13)</f>
        <v>240</v>
      </c>
      <c r="E13" s="214">
        <v>3.5</v>
      </c>
      <c r="F13" s="217">
        <f t="shared" si="0"/>
        <v>7</v>
      </c>
      <c r="G13" s="214">
        <f>F13+F12+F11+F10</f>
        <v>28</v>
      </c>
      <c r="H13" s="265"/>
      <c r="I13" s="208"/>
    </row>
    <row r="14" spans="2:9" ht="12.75">
      <c r="B14" s="209">
        <v>11</v>
      </c>
      <c r="C14" s="210">
        <v>100</v>
      </c>
      <c r="D14" s="210"/>
      <c r="E14" s="210">
        <v>0.5</v>
      </c>
      <c r="F14" s="210">
        <f t="shared" si="0"/>
        <v>5</v>
      </c>
      <c r="G14" s="210">
        <f>F14</f>
        <v>5</v>
      </c>
      <c r="H14" s="263">
        <v>40</v>
      </c>
      <c r="I14" s="208"/>
    </row>
    <row r="15" spans="2:9" ht="13.5" thickBot="1">
      <c r="B15" s="213">
        <v>12</v>
      </c>
      <c r="C15" s="214">
        <v>100</v>
      </c>
      <c r="D15" s="214">
        <f>C15+C14</f>
        <v>200</v>
      </c>
      <c r="E15" s="214">
        <v>1.5</v>
      </c>
      <c r="F15" s="214">
        <f t="shared" si="0"/>
        <v>15</v>
      </c>
      <c r="G15" s="214">
        <f>F15+F14</f>
        <v>20</v>
      </c>
      <c r="H15" s="264"/>
      <c r="I15" s="208"/>
    </row>
    <row r="16" spans="2:9" ht="12.75" customHeight="1">
      <c r="B16" s="102"/>
      <c r="C16" s="102"/>
      <c r="D16" s="102"/>
      <c r="E16" s="102"/>
      <c r="F16" s="102">
        <f>SUM(F4:F15)</f>
        <v>145.5</v>
      </c>
      <c r="G16" s="102"/>
      <c r="H16" s="102">
        <f>SUM(H4:H15)</f>
        <v>200</v>
      </c>
      <c r="I16" s="140"/>
    </row>
    <row r="17" spans="2:9" ht="13.5" thickBot="1">
      <c r="B17" s="102"/>
      <c r="C17" s="102"/>
      <c r="D17" s="102"/>
      <c r="E17" s="102"/>
      <c r="F17" s="102"/>
      <c r="G17" s="102"/>
      <c r="H17" s="216"/>
      <c r="I17" s="208"/>
    </row>
    <row r="18" spans="2:9" ht="13.5" thickBot="1">
      <c r="B18" s="254" t="s">
        <v>95</v>
      </c>
      <c r="C18" s="255"/>
      <c r="D18" s="239"/>
      <c r="E18" s="204">
        <v>0.1</v>
      </c>
      <c r="F18" s="102"/>
      <c r="G18" s="102"/>
      <c r="H18" s="216"/>
      <c r="I18" s="208"/>
    </row>
    <row r="19" spans="2:9" ht="13.5" thickBot="1">
      <c r="B19" s="256" t="s">
        <v>96</v>
      </c>
      <c r="C19" s="257"/>
      <c r="D19" s="258"/>
      <c r="E19" s="188">
        <v>40</v>
      </c>
      <c r="F19" s="102"/>
      <c r="G19" s="102"/>
      <c r="H19" s="216"/>
      <c r="I19" s="208"/>
    </row>
    <row r="20" spans="2:9" ht="12.75">
      <c r="B20" s="102"/>
      <c r="C20" s="102"/>
      <c r="D20" s="102"/>
      <c r="E20" s="102"/>
      <c r="F20" s="102"/>
      <c r="G20" s="102"/>
      <c r="H20" s="216"/>
      <c r="I20" s="208"/>
    </row>
    <row r="21" spans="2:9" ht="12.75">
      <c r="B21" s="102"/>
      <c r="C21" s="102"/>
      <c r="D21" s="102"/>
      <c r="E21" s="102"/>
      <c r="F21" s="102"/>
      <c r="G21" s="102"/>
      <c r="H21" s="216"/>
      <c r="I21" s="208"/>
    </row>
    <row r="22" spans="2:9" ht="12.75" customHeight="1">
      <c r="B22" s="102"/>
      <c r="C22" s="102"/>
      <c r="D22" s="102"/>
      <c r="E22" s="102"/>
      <c r="F22" s="102"/>
      <c r="G22" s="102"/>
      <c r="H22" s="102"/>
      <c r="I22" s="140"/>
    </row>
    <row r="23" spans="2:9" ht="12.75">
      <c r="B23" s="102"/>
      <c r="C23" s="102"/>
      <c r="D23" s="102"/>
      <c r="E23" s="102"/>
      <c r="F23" s="102"/>
      <c r="G23" s="102"/>
      <c r="H23" s="216"/>
      <c r="I23" s="208"/>
    </row>
    <row r="24" ht="12.75">
      <c r="H24" s="27"/>
    </row>
    <row r="26" ht="13.5" thickBot="1"/>
    <row r="27" spans="2:8" ht="13.5" thickBot="1">
      <c r="B27" s="201" t="s">
        <v>21</v>
      </c>
      <c r="C27" s="157" t="s">
        <v>88</v>
      </c>
      <c r="D27" s="157" t="s">
        <v>94</v>
      </c>
      <c r="E27" s="157" t="s">
        <v>89</v>
      </c>
      <c r="F27" s="157" t="s">
        <v>90</v>
      </c>
      <c r="G27" s="157" t="s">
        <v>91</v>
      </c>
      <c r="H27" s="215" t="s">
        <v>92</v>
      </c>
    </row>
    <row r="28" spans="2:8" ht="12.75">
      <c r="B28" s="209">
        <v>1</v>
      </c>
      <c r="C28" s="210">
        <v>200</v>
      </c>
      <c r="D28" s="210"/>
      <c r="E28" s="210">
        <v>0.5</v>
      </c>
      <c r="F28" s="210">
        <f aca="true" t="shared" si="1" ref="F28:F39">C28*E28*E$18</f>
        <v>10</v>
      </c>
      <c r="G28" s="210">
        <f>F28</f>
        <v>10</v>
      </c>
      <c r="H28" s="263">
        <v>40</v>
      </c>
    </row>
    <row r="29" spans="2:8" ht="13.5" thickBot="1">
      <c r="B29" s="213">
        <v>2</v>
      </c>
      <c r="C29" s="214">
        <v>180</v>
      </c>
      <c r="D29" s="214">
        <f>C29+C28</f>
        <v>380</v>
      </c>
      <c r="E29" s="214">
        <v>1.5</v>
      </c>
      <c r="F29" s="217">
        <f t="shared" si="1"/>
        <v>27</v>
      </c>
      <c r="G29" s="214">
        <f>F29+F28</f>
        <v>37</v>
      </c>
      <c r="H29" s="264"/>
    </row>
    <row r="30" spans="2:8" ht="12.75">
      <c r="B30" s="209">
        <v>3</v>
      </c>
      <c r="C30" s="210">
        <v>190</v>
      </c>
      <c r="D30" s="210"/>
      <c r="E30" s="210">
        <v>0.5</v>
      </c>
      <c r="F30" s="210">
        <f t="shared" si="1"/>
        <v>9.5</v>
      </c>
      <c r="G30" s="210">
        <f>F30</f>
        <v>9.5</v>
      </c>
      <c r="H30" s="263">
        <v>40</v>
      </c>
    </row>
    <row r="31" spans="2:8" ht="13.5" thickBot="1">
      <c r="B31" s="213">
        <v>4</v>
      </c>
      <c r="C31" s="214">
        <v>160</v>
      </c>
      <c r="D31" s="214">
        <f>C31+C30</f>
        <v>350</v>
      </c>
      <c r="E31" s="214">
        <v>1.5</v>
      </c>
      <c r="F31" s="217">
        <f t="shared" si="1"/>
        <v>24</v>
      </c>
      <c r="G31" s="214">
        <f>F31+F30</f>
        <v>33.5</v>
      </c>
      <c r="H31" s="265"/>
    </row>
    <row r="32" spans="2:8" ht="12.75">
      <c r="B32" s="209">
        <v>5</v>
      </c>
      <c r="C32" s="210">
        <v>120</v>
      </c>
      <c r="D32" s="210"/>
      <c r="E32" s="210">
        <v>0.5</v>
      </c>
      <c r="F32" s="210">
        <f t="shared" si="1"/>
        <v>6</v>
      </c>
      <c r="G32" s="210">
        <f>F32</f>
        <v>6</v>
      </c>
      <c r="H32" s="263">
        <v>40</v>
      </c>
    </row>
    <row r="33" spans="2:8" ht="13.5" thickBot="1">
      <c r="B33" s="213">
        <v>6</v>
      </c>
      <c r="C33" s="214">
        <v>140</v>
      </c>
      <c r="D33" s="214">
        <f>C33+C32</f>
        <v>260</v>
      </c>
      <c r="E33" s="214">
        <v>1.5</v>
      </c>
      <c r="F33" s="217">
        <f t="shared" si="1"/>
        <v>21</v>
      </c>
      <c r="G33" s="214">
        <f>F33+F32</f>
        <v>27</v>
      </c>
      <c r="H33" s="264"/>
    </row>
    <row r="34" spans="2:8" ht="12.75">
      <c r="B34" s="209">
        <v>7</v>
      </c>
      <c r="C34" s="210">
        <v>140</v>
      </c>
      <c r="D34" s="210"/>
      <c r="E34" s="210">
        <v>0.5</v>
      </c>
      <c r="F34" s="210">
        <f t="shared" si="1"/>
        <v>7</v>
      </c>
      <c r="G34" s="210">
        <f>F34</f>
        <v>7</v>
      </c>
      <c r="H34" s="263">
        <v>40</v>
      </c>
    </row>
    <row r="35" spans="2:8" ht="13.5" thickBot="1">
      <c r="B35" s="213">
        <v>8</v>
      </c>
      <c r="C35" s="214">
        <v>60</v>
      </c>
      <c r="D35" s="214">
        <f>C35+C34</f>
        <v>200</v>
      </c>
      <c r="E35" s="214">
        <v>1.5</v>
      </c>
      <c r="F35" s="214">
        <f t="shared" si="1"/>
        <v>9</v>
      </c>
      <c r="G35" s="214">
        <f>F35+F34</f>
        <v>16</v>
      </c>
      <c r="H35" s="265"/>
    </row>
    <row r="36" spans="2:8" ht="12.75">
      <c r="B36" s="218">
        <v>9</v>
      </c>
      <c r="C36" s="217">
        <v>20</v>
      </c>
      <c r="D36" s="217"/>
      <c r="E36" s="217">
        <v>0.5</v>
      </c>
      <c r="F36" s="217">
        <f t="shared" si="1"/>
        <v>1</v>
      </c>
      <c r="G36" s="217">
        <f>F36</f>
        <v>1</v>
      </c>
      <c r="H36" s="263">
        <v>40</v>
      </c>
    </row>
    <row r="37" spans="2:8" ht="13.5" thickBot="1">
      <c r="B37" s="213">
        <v>10</v>
      </c>
      <c r="C37" s="214">
        <v>20</v>
      </c>
      <c r="D37" s="214">
        <f>C37+C36</f>
        <v>40</v>
      </c>
      <c r="E37" s="214">
        <v>1.5</v>
      </c>
      <c r="F37" s="217">
        <f t="shared" si="1"/>
        <v>3</v>
      </c>
      <c r="G37" s="214">
        <f>F37+F36</f>
        <v>4</v>
      </c>
      <c r="H37" s="264"/>
    </row>
    <row r="38" spans="2:8" ht="12.75">
      <c r="B38" s="209">
        <v>11</v>
      </c>
      <c r="C38" s="210">
        <v>100</v>
      </c>
      <c r="D38" s="210"/>
      <c r="E38" s="210">
        <v>0.5</v>
      </c>
      <c r="F38" s="210">
        <f t="shared" si="1"/>
        <v>5</v>
      </c>
      <c r="G38" s="210">
        <f>F38</f>
        <v>5</v>
      </c>
      <c r="H38" s="263">
        <v>40</v>
      </c>
    </row>
    <row r="39" spans="2:8" ht="13.5" thickBot="1">
      <c r="B39" s="213">
        <v>12</v>
      </c>
      <c r="C39" s="214">
        <v>100</v>
      </c>
      <c r="D39" s="214">
        <f>C39+C38</f>
        <v>200</v>
      </c>
      <c r="E39" s="214">
        <v>1.5</v>
      </c>
      <c r="F39" s="214">
        <f t="shared" si="1"/>
        <v>15</v>
      </c>
      <c r="G39" s="214">
        <f>F39+F38</f>
        <v>20</v>
      </c>
      <c r="H39" s="264"/>
    </row>
    <row r="40" spans="2:8" ht="12.75">
      <c r="B40" s="102"/>
      <c r="C40" s="102"/>
      <c r="D40" s="102"/>
      <c r="E40" s="102"/>
      <c r="F40" s="102">
        <f>SUM(F28:F39)</f>
        <v>137.5</v>
      </c>
      <c r="G40" s="102"/>
      <c r="H40" s="102">
        <f>SUM(H28:H39)</f>
        <v>240</v>
      </c>
    </row>
    <row r="41" spans="2:8" ht="13.5" thickBot="1">
      <c r="B41" s="102"/>
      <c r="C41" s="102"/>
      <c r="D41" s="102"/>
      <c r="E41" s="102"/>
      <c r="F41" s="102"/>
      <c r="G41" s="102"/>
      <c r="H41" s="216"/>
    </row>
    <row r="42" spans="2:8" ht="13.5" thickBot="1">
      <c r="B42" s="254" t="s">
        <v>95</v>
      </c>
      <c r="C42" s="255"/>
      <c r="D42" s="239"/>
      <c r="E42" s="204">
        <v>0.1</v>
      </c>
      <c r="F42" s="102"/>
      <c r="G42" s="102"/>
      <c r="H42" s="216"/>
    </row>
    <row r="43" spans="2:8" ht="13.5" thickBot="1">
      <c r="B43" s="256" t="s">
        <v>96</v>
      </c>
      <c r="C43" s="257"/>
      <c r="D43" s="258"/>
      <c r="E43" s="188">
        <v>40</v>
      </c>
      <c r="F43" s="102"/>
      <c r="G43" s="102"/>
      <c r="H43" s="216"/>
    </row>
    <row r="47" ht="13.5" thickBot="1"/>
    <row r="48" spans="2:8" ht="13.5" thickBot="1">
      <c r="B48" s="201" t="s">
        <v>21</v>
      </c>
      <c r="C48" s="157" t="s">
        <v>88</v>
      </c>
      <c r="D48" s="157" t="s">
        <v>94</v>
      </c>
      <c r="E48" s="157" t="s">
        <v>89</v>
      </c>
      <c r="F48" s="157" t="s">
        <v>90</v>
      </c>
      <c r="G48" s="157" t="s">
        <v>91</v>
      </c>
      <c r="H48" s="215" t="s">
        <v>92</v>
      </c>
    </row>
    <row r="49" spans="2:8" ht="12.75">
      <c r="B49" s="209">
        <v>1</v>
      </c>
      <c r="C49" s="210">
        <v>200</v>
      </c>
      <c r="D49" s="210"/>
      <c r="E49" s="210">
        <v>0.5</v>
      </c>
      <c r="F49" s="210">
        <f aca="true" t="shared" si="2" ref="F49:F60">C49*E49*E$18</f>
        <v>10</v>
      </c>
      <c r="G49" s="210">
        <f>F49</f>
        <v>10</v>
      </c>
      <c r="H49" s="263">
        <v>40</v>
      </c>
    </row>
    <row r="50" spans="2:8" ht="13.5" thickBot="1">
      <c r="B50" s="213">
        <v>2</v>
      </c>
      <c r="C50" s="214">
        <v>180</v>
      </c>
      <c r="D50" s="214">
        <f>C50+C49</f>
        <v>380</v>
      </c>
      <c r="E50" s="214">
        <v>1.5</v>
      </c>
      <c r="F50" s="217">
        <f t="shared" si="2"/>
        <v>27</v>
      </c>
      <c r="G50" s="214">
        <f>F50+F49</f>
        <v>37</v>
      </c>
      <c r="H50" s="264"/>
    </row>
    <row r="51" spans="2:8" ht="12.75">
      <c r="B51" s="209">
        <v>3</v>
      </c>
      <c r="C51" s="210">
        <v>190</v>
      </c>
      <c r="D51" s="210"/>
      <c r="E51" s="210">
        <v>0.5</v>
      </c>
      <c r="F51" s="210">
        <f t="shared" si="2"/>
        <v>9.5</v>
      </c>
      <c r="G51" s="210">
        <f>F51</f>
        <v>9.5</v>
      </c>
      <c r="H51" s="263">
        <v>40</v>
      </c>
    </row>
    <row r="52" spans="2:8" ht="13.5" thickBot="1">
      <c r="B52" s="213">
        <v>4</v>
      </c>
      <c r="C52" s="214">
        <v>160</v>
      </c>
      <c r="D52" s="214">
        <f>C52+C51</f>
        <v>350</v>
      </c>
      <c r="E52" s="214">
        <v>1.5</v>
      </c>
      <c r="F52" s="217">
        <f t="shared" si="2"/>
        <v>24</v>
      </c>
      <c r="G52" s="214">
        <f>F52+F51</f>
        <v>33.5</v>
      </c>
      <c r="H52" s="265"/>
    </row>
    <row r="53" spans="2:8" ht="12.75">
      <c r="B53" s="209">
        <v>5</v>
      </c>
      <c r="C53" s="210">
        <v>120</v>
      </c>
      <c r="D53" s="210"/>
      <c r="E53" s="210">
        <v>0.5</v>
      </c>
      <c r="F53" s="210">
        <f t="shared" si="2"/>
        <v>6</v>
      </c>
      <c r="G53" s="210">
        <f>F53</f>
        <v>6</v>
      </c>
      <c r="H53" s="263">
        <v>40</v>
      </c>
    </row>
    <row r="54" spans="2:8" ht="13.5" thickBot="1">
      <c r="B54" s="213">
        <v>6</v>
      </c>
      <c r="C54" s="214">
        <v>140</v>
      </c>
      <c r="D54" s="214">
        <f>C54+C53</f>
        <v>260</v>
      </c>
      <c r="E54" s="214">
        <v>1.5</v>
      </c>
      <c r="F54" s="217">
        <f t="shared" si="2"/>
        <v>21</v>
      </c>
      <c r="G54" s="214">
        <f>F54+F53</f>
        <v>27</v>
      </c>
      <c r="H54" s="264"/>
    </row>
    <row r="55" spans="2:8" ht="12.75">
      <c r="B55" s="209">
        <v>7</v>
      </c>
      <c r="C55" s="210">
        <v>140</v>
      </c>
      <c r="D55" s="210"/>
      <c r="E55" s="210">
        <v>0.5</v>
      </c>
      <c r="F55" s="210">
        <f t="shared" si="2"/>
        <v>7</v>
      </c>
      <c r="G55" s="210">
        <f>F55</f>
        <v>7</v>
      </c>
      <c r="H55" s="263">
        <v>40</v>
      </c>
    </row>
    <row r="56" spans="2:8" ht="13.5" thickBot="1">
      <c r="B56" s="213">
        <v>8</v>
      </c>
      <c r="C56" s="214">
        <v>60</v>
      </c>
      <c r="D56" s="214">
        <f>C56+C55</f>
        <v>200</v>
      </c>
      <c r="E56" s="214">
        <v>1.5</v>
      </c>
      <c r="F56" s="214">
        <f t="shared" si="2"/>
        <v>9</v>
      </c>
      <c r="G56" s="214">
        <f>F56+F55</f>
        <v>16</v>
      </c>
      <c r="H56" s="265"/>
    </row>
    <row r="57" spans="2:8" ht="12.75">
      <c r="B57" s="218">
        <v>9</v>
      </c>
      <c r="C57" s="217">
        <v>20</v>
      </c>
      <c r="D57" s="217"/>
      <c r="E57" s="217">
        <v>0.5</v>
      </c>
      <c r="F57" s="217">
        <f t="shared" si="2"/>
        <v>1</v>
      </c>
      <c r="G57" s="217">
        <f>F57</f>
        <v>1</v>
      </c>
      <c r="H57" s="263">
        <v>40</v>
      </c>
    </row>
    <row r="58" spans="2:8" ht="12.75">
      <c r="B58" s="211">
        <v>10</v>
      </c>
      <c r="C58" s="212">
        <v>20</v>
      </c>
      <c r="D58" s="212"/>
      <c r="E58" s="212">
        <v>1.5</v>
      </c>
      <c r="F58" s="217">
        <f t="shared" si="2"/>
        <v>3</v>
      </c>
      <c r="G58" s="212">
        <f>F58+F57</f>
        <v>4</v>
      </c>
      <c r="H58" s="267"/>
    </row>
    <row r="59" spans="2:8" ht="12.75">
      <c r="B59" s="218">
        <v>11</v>
      </c>
      <c r="C59" s="217">
        <v>100</v>
      </c>
      <c r="D59" s="217"/>
      <c r="E59" s="217">
        <v>2.5</v>
      </c>
      <c r="F59" s="217">
        <f t="shared" si="2"/>
        <v>25</v>
      </c>
      <c r="G59" s="217">
        <f>F59+F58+F57</f>
        <v>29</v>
      </c>
      <c r="H59" s="267"/>
    </row>
    <row r="60" spans="2:8" ht="13.5" thickBot="1">
      <c r="B60" s="213">
        <v>12</v>
      </c>
      <c r="C60" s="214">
        <v>100</v>
      </c>
      <c r="D60" s="214">
        <f>C57+C58+C59+C60</f>
        <v>240</v>
      </c>
      <c r="E60" s="214">
        <v>3.5</v>
      </c>
      <c r="F60" s="214">
        <f t="shared" si="2"/>
        <v>35</v>
      </c>
      <c r="G60" s="214">
        <f>F60+F59+F58+F57</f>
        <v>64</v>
      </c>
      <c r="H60" s="264"/>
    </row>
    <row r="61" spans="2:8" ht="12.75">
      <c r="B61" s="102"/>
      <c r="C61" s="102"/>
      <c r="D61" s="102"/>
      <c r="E61" s="102"/>
      <c r="F61" s="102">
        <f>SUM(F49:F60)</f>
        <v>177.5</v>
      </c>
      <c r="G61" s="102"/>
      <c r="H61" s="102">
        <f>SUM(H49:H60)</f>
        <v>200</v>
      </c>
    </row>
    <row r="62" spans="2:8" ht="13.5" thickBot="1">
      <c r="B62" s="102"/>
      <c r="C62" s="102"/>
      <c r="D62" s="102"/>
      <c r="E62" s="102"/>
      <c r="F62" s="102"/>
      <c r="G62" s="102"/>
      <c r="H62" s="216"/>
    </row>
    <row r="63" spans="2:8" ht="13.5" thickBot="1">
      <c r="B63" s="254" t="s">
        <v>95</v>
      </c>
      <c r="C63" s="255"/>
      <c r="D63" s="239"/>
      <c r="E63" s="204">
        <v>0.1</v>
      </c>
      <c r="F63" s="102"/>
      <c r="G63" s="102"/>
      <c r="H63" s="216"/>
    </row>
    <row r="64" spans="2:8" ht="13.5" thickBot="1">
      <c r="B64" s="256" t="s">
        <v>96</v>
      </c>
      <c r="C64" s="257"/>
      <c r="D64" s="258"/>
      <c r="E64" s="188">
        <v>40</v>
      </c>
      <c r="F64" s="102"/>
      <c r="G64" s="102"/>
      <c r="H64" s="216"/>
    </row>
  </sheetData>
  <mergeCells count="22">
    <mergeCell ref="B63:D63"/>
    <mergeCell ref="B64:D64"/>
    <mergeCell ref="H57:H60"/>
    <mergeCell ref="H51:H52"/>
    <mergeCell ref="H53:H54"/>
    <mergeCell ref="H55:H56"/>
    <mergeCell ref="B42:D42"/>
    <mergeCell ref="B43:D43"/>
    <mergeCell ref="H34:H35"/>
    <mergeCell ref="H36:H37"/>
    <mergeCell ref="H28:H29"/>
    <mergeCell ref="H30:H31"/>
    <mergeCell ref="H32:H33"/>
    <mergeCell ref="H49:H50"/>
    <mergeCell ref="H38:H39"/>
    <mergeCell ref="B18:D18"/>
    <mergeCell ref="B19:D19"/>
    <mergeCell ref="H4:H5"/>
    <mergeCell ref="H6:H7"/>
    <mergeCell ref="H8:H9"/>
    <mergeCell ref="H10:H13"/>
    <mergeCell ref="H14:H15"/>
  </mergeCells>
  <printOptions/>
  <pageMargins left="0.75" right="0.75" top="1" bottom="1" header="0.4921259845" footer="0.4921259845"/>
  <pageSetup orientation="portrait" paperSize="9" r:id="rId1"/>
  <ignoredErrors>
    <ignoredError sqref="D13" formulaRange="1"/>
    <ignoredError sqref="G5 G9 G7 G10 G6 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>Verwendung nur für Unterrichtszwecke!
Keine Haftung, Verwendung auf eigenes Risiko!</dc:description>
  <cp:lastModifiedBy>Rupert McNamara</cp:lastModifiedBy>
  <cp:lastPrinted>2004-10-26T18:49:55Z</cp:lastPrinted>
  <dcterms:created xsi:type="dcterms:W3CDTF">2004-07-15T16:19:22Z</dcterms:created>
  <dcterms:modified xsi:type="dcterms:W3CDTF">2009-11-22T10:19:10Z</dcterms:modified>
  <cp:category/>
  <cp:version/>
  <cp:contentType/>
  <cp:contentStatus/>
</cp:coreProperties>
</file>